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\Desktop\"/>
    </mc:Choice>
  </mc:AlternateContent>
  <workbookProtection workbookPassword="CA82" lockStructure="1"/>
  <bookViews>
    <workbookView xWindow="0" yWindow="0" windowWidth="28800" windowHeight="12180"/>
  </bookViews>
  <sheets>
    <sheet name="Frais AUTO" sheetId="1" r:id="rId1"/>
    <sheet name="Frais MOTO" sheetId="2" r:id="rId2"/>
    <sheet name="SOCIETES" sheetId="5" r:id="rId3"/>
    <sheet name="Annexe BIC" sheetId="4" r:id="rId4"/>
    <sheet name="Calculs" sheetId="3" state="hidden" r:id="rId5"/>
    <sheet name="Calculs stes" sheetId="6" state="hidden" r:id="rId6"/>
  </sheets>
  <calcPr calcId="162913"/>
</workbook>
</file>

<file path=xl/calcChain.xml><?xml version="1.0" encoding="utf-8"?>
<calcChain xmlns="http://schemas.openxmlformats.org/spreadsheetml/2006/main">
  <c r="C3" i="2" l="1"/>
  <c r="C4" i="2"/>
  <c r="B7" i="4" l="1"/>
  <c r="N46" i="3" l="1"/>
  <c r="I3" i="6" l="1"/>
  <c r="D116" i="6" l="1"/>
  <c r="D147" i="6"/>
  <c r="B147" i="6"/>
  <c r="B116" i="6"/>
  <c r="D85" i="6"/>
  <c r="B85" i="6"/>
  <c r="D54" i="6"/>
  <c r="B54" i="6"/>
  <c r="B35" i="3"/>
  <c r="C5" i="2" l="1"/>
  <c r="D124" i="6" l="1"/>
  <c r="C124" i="6"/>
  <c r="G8" i="5" l="1"/>
  <c r="F5" i="2"/>
  <c r="A3" i="3" l="1"/>
  <c r="A2" i="3"/>
  <c r="A21" i="3"/>
  <c r="D150" i="6"/>
  <c r="D149" i="6"/>
  <c r="D119" i="6"/>
  <c r="D118" i="6"/>
  <c r="D88" i="6"/>
  <c r="D87" i="6"/>
  <c r="D57" i="6"/>
  <c r="C100" i="5"/>
  <c r="C98" i="5"/>
  <c r="C97" i="5"/>
  <c r="C80" i="5"/>
  <c r="C78" i="5"/>
  <c r="C77" i="5"/>
  <c r="C60" i="5"/>
  <c r="C58" i="5"/>
  <c r="C57" i="5"/>
  <c r="C40" i="5"/>
  <c r="C38" i="5"/>
  <c r="C37" i="5"/>
  <c r="A96" i="6"/>
  <c r="G77" i="5"/>
  <c r="A97" i="6" s="1"/>
  <c r="B117" i="6"/>
  <c r="B118" i="6"/>
  <c r="B119" i="6"/>
  <c r="G97" i="5"/>
  <c r="A128" i="6" s="1"/>
  <c r="B141" i="6" s="1"/>
  <c r="A127" i="6"/>
  <c r="B149" i="6"/>
  <c r="B150" i="6"/>
  <c r="G57" i="5"/>
  <c r="A66" i="6" s="1"/>
  <c r="A65" i="6"/>
  <c r="B86" i="6"/>
  <c r="B87" i="6"/>
  <c r="B88" i="6"/>
  <c r="D86" i="6"/>
  <c r="G37" i="5"/>
  <c r="A35" i="6" s="1"/>
  <c r="B55" i="6"/>
  <c r="B57" i="6"/>
  <c r="I147" i="6"/>
  <c r="L150" i="6"/>
  <c r="K150" i="6"/>
  <c r="J150" i="6"/>
  <c r="I150" i="6"/>
  <c r="L149" i="6"/>
  <c r="K149" i="6"/>
  <c r="J149" i="6"/>
  <c r="I149" i="6"/>
  <c r="L148" i="6"/>
  <c r="K148" i="6"/>
  <c r="J148" i="6"/>
  <c r="I148" i="6"/>
  <c r="L147" i="6"/>
  <c r="K147" i="6"/>
  <c r="J147" i="6"/>
  <c r="L131" i="6"/>
  <c r="K131" i="6"/>
  <c r="J131" i="6"/>
  <c r="I131" i="6"/>
  <c r="L130" i="6"/>
  <c r="K130" i="6"/>
  <c r="J130" i="6"/>
  <c r="I130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I116" i="6"/>
  <c r="D117" i="6"/>
  <c r="L119" i="6"/>
  <c r="K119" i="6"/>
  <c r="J119" i="6"/>
  <c r="I119" i="6"/>
  <c r="L118" i="6"/>
  <c r="K118" i="6"/>
  <c r="J118" i="6"/>
  <c r="I118" i="6"/>
  <c r="L117" i="6"/>
  <c r="K117" i="6"/>
  <c r="J117" i="6"/>
  <c r="I117" i="6"/>
  <c r="L116" i="6"/>
  <c r="K116" i="6"/>
  <c r="J116" i="6"/>
  <c r="L100" i="6"/>
  <c r="K100" i="6"/>
  <c r="J100" i="6"/>
  <c r="I100" i="6"/>
  <c r="L99" i="6"/>
  <c r="K99" i="6"/>
  <c r="J99" i="6"/>
  <c r="I99" i="6"/>
  <c r="L98" i="6"/>
  <c r="K98" i="6"/>
  <c r="J98" i="6"/>
  <c r="I98" i="6"/>
  <c r="L97" i="6"/>
  <c r="K97" i="6"/>
  <c r="J97" i="6"/>
  <c r="I97" i="6"/>
  <c r="L96" i="6"/>
  <c r="K96" i="6"/>
  <c r="J96" i="6"/>
  <c r="I96" i="6"/>
  <c r="I85" i="6"/>
  <c r="L88" i="6"/>
  <c r="K88" i="6"/>
  <c r="J88" i="6"/>
  <c r="I88" i="6"/>
  <c r="L87" i="6"/>
  <c r="K87" i="6"/>
  <c r="J87" i="6"/>
  <c r="I87" i="6"/>
  <c r="L86" i="6"/>
  <c r="K86" i="6"/>
  <c r="J86" i="6"/>
  <c r="I86" i="6"/>
  <c r="L85" i="6"/>
  <c r="K85" i="6"/>
  <c r="J85" i="6"/>
  <c r="L69" i="6"/>
  <c r="K69" i="6"/>
  <c r="J69" i="6"/>
  <c r="I69" i="6"/>
  <c r="L68" i="6"/>
  <c r="K68" i="6"/>
  <c r="J68" i="6"/>
  <c r="I68" i="6"/>
  <c r="L67" i="6"/>
  <c r="K67" i="6"/>
  <c r="J67" i="6"/>
  <c r="I67" i="6"/>
  <c r="L66" i="6"/>
  <c r="K66" i="6"/>
  <c r="J66" i="6"/>
  <c r="I66" i="6"/>
  <c r="L65" i="6"/>
  <c r="K65" i="6"/>
  <c r="J65" i="6"/>
  <c r="I65" i="6"/>
  <c r="I54" i="6"/>
  <c r="D55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A34" i="6"/>
  <c r="L26" i="6"/>
  <c r="L25" i="6"/>
  <c r="L24" i="6"/>
  <c r="L23" i="6"/>
  <c r="L7" i="6"/>
  <c r="L6" i="6"/>
  <c r="L5" i="6"/>
  <c r="L4" i="6"/>
  <c r="L3" i="6"/>
  <c r="K26" i="6"/>
  <c r="K25" i="6"/>
  <c r="K24" i="6"/>
  <c r="K23" i="6"/>
  <c r="K7" i="6"/>
  <c r="K6" i="6"/>
  <c r="K5" i="6"/>
  <c r="K4" i="6"/>
  <c r="K3" i="6"/>
  <c r="J26" i="6"/>
  <c r="J25" i="6"/>
  <c r="J24" i="6"/>
  <c r="J23" i="6"/>
  <c r="J7" i="6"/>
  <c r="J6" i="6"/>
  <c r="J5" i="6"/>
  <c r="J4" i="6"/>
  <c r="J3" i="6"/>
  <c r="I26" i="6"/>
  <c r="I25" i="6"/>
  <c r="I24" i="6"/>
  <c r="I23" i="6"/>
  <c r="I7" i="6"/>
  <c r="I6" i="6"/>
  <c r="I5" i="6"/>
  <c r="I4" i="6"/>
  <c r="G17" i="5"/>
  <c r="A4" i="6" s="1"/>
  <c r="A3" i="6"/>
  <c r="F97" i="5"/>
  <c r="F77" i="5"/>
  <c r="F57" i="5"/>
  <c r="F37" i="5"/>
  <c r="C20" i="5"/>
  <c r="F17" i="5"/>
  <c r="C18" i="5"/>
  <c r="C17" i="5"/>
  <c r="A31" i="3"/>
  <c r="B36" i="3" s="1"/>
  <c r="D36" i="3"/>
  <c r="D35" i="3"/>
  <c r="B25" i="2"/>
  <c r="B30" i="1"/>
  <c r="A20" i="3"/>
  <c r="A41" i="3"/>
  <c r="B43" i="3" s="1"/>
  <c r="B44" i="3"/>
  <c r="B45" i="3"/>
  <c r="D42" i="3"/>
  <c r="D43" i="3"/>
  <c r="D44" i="3"/>
  <c r="D45" i="3"/>
  <c r="B26" i="2"/>
  <c r="B24" i="2"/>
  <c r="B21" i="2"/>
  <c r="B14" i="2"/>
  <c r="B10" i="2"/>
  <c r="B12" i="2"/>
  <c r="B29" i="1"/>
  <c r="B24" i="1"/>
  <c r="B16" i="1"/>
  <c r="B13" i="1"/>
  <c r="B31" i="1"/>
  <c r="B18" i="1"/>
  <c r="J12" i="2"/>
  <c r="D13" i="3"/>
  <c r="D7" i="3"/>
  <c r="B6" i="3"/>
  <c r="B8" i="3"/>
  <c r="D10" i="3"/>
  <c r="B7" i="3"/>
  <c r="D11" i="3"/>
  <c r="D9" i="3"/>
  <c r="B13" i="3"/>
  <c r="D16" i="3"/>
  <c r="B10" i="3"/>
  <c r="B12" i="3"/>
  <c r="D8" i="3"/>
  <c r="B16" i="3"/>
  <c r="D6" i="3"/>
  <c r="B15" i="3" l="1"/>
  <c r="B24" i="3"/>
  <c r="D15" i="3"/>
  <c r="D12" i="3"/>
  <c r="B11" i="3"/>
  <c r="D14" i="3"/>
  <c r="J38" i="3"/>
  <c r="B33" i="3"/>
  <c r="D33" i="3"/>
  <c r="B42" i="3"/>
  <c r="B46" i="3" s="1"/>
  <c r="E24" i="2" s="1"/>
  <c r="C26" i="2" s="1"/>
  <c r="D24" i="3"/>
  <c r="D27" i="3"/>
  <c r="D26" i="3"/>
  <c r="B23" i="3"/>
  <c r="B26" i="3"/>
  <c r="D25" i="3"/>
  <c r="B25" i="3"/>
  <c r="D23" i="3"/>
  <c r="B27" i="3"/>
  <c r="J8" i="3"/>
  <c r="I8" i="3"/>
  <c r="D62" i="6"/>
  <c r="C62" i="6"/>
  <c r="C93" i="6"/>
  <c r="D93" i="6"/>
  <c r="A21" i="6"/>
  <c r="D31" i="6"/>
  <c r="C31" i="6"/>
  <c r="B24" i="6"/>
  <c r="D24" i="6"/>
  <c r="B9" i="3"/>
  <c r="B70" i="6"/>
  <c r="D69" i="6"/>
  <c r="B72" i="6"/>
  <c r="D136" i="6"/>
  <c r="B140" i="6"/>
  <c r="A145" i="6"/>
  <c r="B138" i="6"/>
  <c r="B132" i="6"/>
  <c r="B136" i="6"/>
  <c r="D138" i="6"/>
  <c r="D140" i="6"/>
  <c r="B133" i="6"/>
  <c r="D132" i="6"/>
  <c r="B139" i="6"/>
  <c r="D131" i="6"/>
  <c r="D134" i="6"/>
  <c r="D139" i="6"/>
  <c r="D141" i="6"/>
  <c r="B134" i="6"/>
  <c r="B137" i="6"/>
  <c r="D135" i="6"/>
  <c r="D137" i="6"/>
  <c r="B135" i="6"/>
  <c r="B131" i="6"/>
  <c r="D133" i="6"/>
  <c r="D105" i="6"/>
  <c r="D100" i="6"/>
  <c r="D108" i="6"/>
  <c r="B106" i="6"/>
  <c r="D101" i="6"/>
  <c r="B108" i="6"/>
  <c r="D106" i="6"/>
  <c r="D109" i="6"/>
  <c r="B102" i="6"/>
  <c r="B105" i="6"/>
  <c r="B110" i="6"/>
  <c r="D110" i="6"/>
  <c r="D107" i="6"/>
  <c r="D103" i="6"/>
  <c r="B109" i="6"/>
  <c r="B107" i="6"/>
  <c r="D102" i="6"/>
  <c r="B100" i="6"/>
  <c r="B103" i="6"/>
  <c r="B104" i="6"/>
  <c r="D104" i="6"/>
  <c r="B101" i="6"/>
  <c r="A114" i="6"/>
  <c r="D74" i="6"/>
  <c r="B76" i="6"/>
  <c r="D77" i="6"/>
  <c r="D75" i="6"/>
  <c r="B73" i="6"/>
  <c r="B75" i="6"/>
  <c r="B77" i="6"/>
  <c r="D79" i="6"/>
  <c r="B71" i="6"/>
  <c r="B74" i="6"/>
  <c r="A83" i="6"/>
  <c r="D70" i="6"/>
  <c r="D73" i="6"/>
  <c r="D76" i="6"/>
  <c r="B69" i="6"/>
  <c r="B78" i="6"/>
  <c r="D71" i="6"/>
  <c r="B79" i="6"/>
  <c r="D72" i="6"/>
  <c r="D78" i="6"/>
  <c r="D39" i="6"/>
  <c r="B38" i="6"/>
  <c r="D48" i="6"/>
  <c r="D38" i="6"/>
  <c r="D44" i="6"/>
  <c r="B41" i="6"/>
  <c r="D47" i="6"/>
  <c r="D42" i="6"/>
  <c r="B47" i="6"/>
  <c r="B48" i="6"/>
  <c r="B44" i="6"/>
  <c r="B42" i="6"/>
  <c r="B43" i="6"/>
  <c r="A52" i="6"/>
  <c r="D43" i="6"/>
  <c r="D46" i="6"/>
  <c r="D41" i="6"/>
  <c r="B39" i="6"/>
  <c r="B45" i="6"/>
  <c r="B40" i="6"/>
  <c r="D40" i="6"/>
  <c r="D45" i="6"/>
  <c r="B46" i="6"/>
  <c r="B9" i="6"/>
  <c r="D14" i="6"/>
  <c r="B12" i="6"/>
  <c r="B14" i="6"/>
  <c r="B11" i="6"/>
  <c r="D12" i="6"/>
  <c r="D11" i="6"/>
  <c r="B17" i="6"/>
  <c r="D13" i="6"/>
  <c r="D8" i="6"/>
  <c r="B13" i="6"/>
  <c r="B16" i="6"/>
  <c r="B10" i="6"/>
  <c r="D10" i="6"/>
  <c r="B7" i="6"/>
  <c r="D7" i="6"/>
  <c r="B15" i="6"/>
  <c r="D16" i="6"/>
  <c r="D9" i="6"/>
  <c r="D15" i="6"/>
  <c r="B8" i="6"/>
  <c r="D17" i="6"/>
  <c r="B34" i="3"/>
  <c r="I38" i="3"/>
  <c r="D34" i="3"/>
  <c r="B14" i="3"/>
  <c r="D89" i="6"/>
  <c r="B89" i="6"/>
  <c r="D46" i="3"/>
  <c r="D17" i="3" l="1"/>
  <c r="B28" i="3"/>
  <c r="E29" i="1" s="1"/>
  <c r="F30" i="4" s="1"/>
  <c r="D28" i="3"/>
  <c r="D26" i="6"/>
  <c r="B26" i="6"/>
  <c r="D23" i="6"/>
  <c r="B23" i="6"/>
  <c r="B25" i="6"/>
  <c r="D25" i="6"/>
  <c r="B56" i="6"/>
  <c r="D56" i="6"/>
  <c r="B37" i="3"/>
  <c r="E12" i="2" s="1"/>
  <c r="D155" i="6"/>
  <c r="C155" i="6"/>
  <c r="B148" i="6"/>
  <c r="B151" i="6" s="1"/>
  <c r="D148" i="6"/>
  <c r="D151" i="6" s="1"/>
  <c r="B18" i="6"/>
  <c r="B17" i="3"/>
  <c r="E16" i="1" s="1"/>
  <c r="C18" i="1" s="1"/>
  <c r="B142" i="6"/>
  <c r="B49" i="6"/>
  <c r="D49" i="6"/>
  <c r="D18" i="6"/>
  <c r="D142" i="6"/>
  <c r="B111" i="6"/>
  <c r="D111" i="6"/>
  <c r="D120" i="6"/>
  <c r="B120" i="6"/>
  <c r="B80" i="6"/>
  <c r="D80" i="6"/>
  <c r="D91" i="6" s="1"/>
  <c r="B58" i="6"/>
  <c r="D37" i="3"/>
  <c r="C31" i="1"/>
  <c r="D27" i="6" l="1"/>
  <c r="B27" i="6"/>
  <c r="G29" i="6" s="1"/>
  <c r="F13" i="5" s="1"/>
  <c r="C14" i="2"/>
  <c r="B122" i="6"/>
  <c r="F80" i="5" s="1"/>
  <c r="D81" i="5" s="1"/>
  <c r="D29" i="6"/>
  <c r="D58" i="6"/>
  <c r="D60" i="6" s="1"/>
  <c r="B60" i="6"/>
  <c r="F40" i="5" s="1"/>
  <c r="D41" i="5" s="1"/>
  <c r="G91" i="6"/>
  <c r="F53" i="5" s="1"/>
  <c r="B91" i="6"/>
  <c r="F60" i="5" s="1"/>
  <c r="G153" i="6"/>
  <c r="F93" i="5" s="1"/>
  <c r="D153" i="6"/>
  <c r="B153" i="6"/>
  <c r="F100" i="5" s="1"/>
  <c r="D101" i="5" s="1"/>
  <c r="D122" i="6"/>
  <c r="G122" i="6"/>
  <c r="F73" i="5" s="1"/>
  <c r="G60" i="6"/>
  <c r="F33" i="5" s="1"/>
  <c r="B29" i="6" l="1"/>
  <c r="F20" i="5" s="1"/>
  <c r="C21" i="5" s="1"/>
  <c r="G46" i="5"/>
  <c r="C46" i="5" s="1"/>
  <c r="C101" i="5"/>
  <c r="G106" i="5"/>
  <c r="C107" i="5" s="1"/>
  <c r="F103" i="5"/>
  <c r="C104" i="5" s="1"/>
  <c r="F63" i="5"/>
  <c r="C64" i="5" s="1"/>
  <c r="D61" i="5"/>
  <c r="F83" i="5"/>
  <c r="C83" i="5" s="1"/>
  <c r="C81" i="5"/>
  <c r="C61" i="5"/>
  <c r="G66" i="5"/>
  <c r="C66" i="5" s="1"/>
  <c r="F43" i="5"/>
  <c r="C43" i="5" s="1"/>
  <c r="C41" i="5"/>
  <c r="G86" i="5"/>
  <c r="C87" i="5" s="1"/>
  <c r="D21" i="5" l="1"/>
  <c r="F23" i="5"/>
  <c r="C23" i="5" s="1"/>
  <c r="G26" i="5"/>
  <c r="C27" i="5" s="1"/>
  <c r="C47" i="5"/>
  <c r="C63" i="5"/>
  <c r="C106" i="5"/>
  <c r="C103" i="5"/>
  <c r="C84" i="5"/>
  <c r="C67" i="5"/>
  <c r="C44" i="5"/>
  <c r="C86" i="5"/>
  <c r="C24" i="5" l="1"/>
  <c r="C26" i="5"/>
</calcChain>
</file>

<file path=xl/sharedStrings.xml><?xml version="1.0" encoding="utf-8"?>
<sst xmlns="http://schemas.openxmlformats.org/spreadsheetml/2006/main" count="243" uniqueCount="92">
  <si>
    <t xml:space="preserve">Nom - Prénom :   </t>
  </si>
  <si>
    <t xml:space="preserve">Profession :   </t>
  </si>
  <si>
    <t xml:space="preserve">Dossier n° :   </t>
  </si>
  <si>
    <t>Non applicable aux véhicules utilitaires, véhicules de tourisme prêtés, location courte durée,…</t>
  </si>
  <si>
    <t>Non applicable aux salariés locataires, ni aux locations de véhicules utilitaires.</t>
  </si>
  <si>
    <t>Puissance du Véhicule (CV) :</t>
  </si>
  <si>
    <t>Applicable aux BNC locataires de leur véhicule de tourisme.</t>
  </si>
  <si>
    <t>Applicable aux BNC locataires de leur véhicule.</t>
  </si>
  <si>
    <t>IK GENERAL AUTO</t>
  </si>
  <si>
    <t>CV</t>
  </si>
  <si>
    <t>KM</t>
  </si>
  <si>
    <t>FORFAIT BIC AUTO</t>
  </si>
  <si>
    <t>5 à 7 CV</t>
  </si>
  <si>
    <t>8 et 9 CV</t>
  </si>
  <si>
    <t>10 et 11 CV</t>
  </si>
  <si>
    <t>12 CV et +</t>
  </si>
  <si>
    <t>IK GENERAL MOTO</t>
  </si>
  <si>
    <t>km</t>
  </si>
  <si>
    <t>- de 50 cm3</t>
  </si>
  <si>
    <t>de 50 à 125 cm3</t>
  </si>
  <si>
    <t>3, 4, 5 CV</t>
  </si>
  <si>
    <t>plus de 5 CV</t>
  </si>
  <si>
    <t>IK CARBURANT MOTO</t>
  </si>
  <si>
    <t xml:space="preserve">Exercice :   </t>
  </si>
  <si>
    <t>3 CV ou -</t>
  </si>
  <si>
    <t>4 CV</t>
  </si>
  <si>
    <t>5 CV</t>
  </si>
  <si>
    <t>6 CV</t>
  </si>
  <si>
    <t>5000 a 20000</t>
  </si>
  <si>
    <t>BIC auto</t>
  </si>
  <si>
    <t>diesel</t>
  </si>
  <si>
    <t>ss plomb</t>
  </si>
  <si>
    <t>gpl</t>
  </si>
  <si>
    <t>Diesel</t>
  </si>
  <si>
    <t>Sans Plomb</t>
  </si>
  <si>
    <t>GPL</t>
  </si>
  <si>
    <r>
      <t>- de 50 cm</t>
    </r>
    <r>
      <rPr>
        <vertAlign val="superscript"/>
        <sz val="10"/>
        <rFont val="Arial"/>
        <family val="2"/>
      </rPr>
      <t>3</t>
    </r>
  </si>
  <si>
    <r>
      <t>de 50 à 125 cm</t>
    </r>
    <r>
      <rPr>
        <vertAlign val="superscript"/>
        <sz val="10"/>
        <rFont val="Arial"/>
        <family val="2"/>
      </rPr>
      <t>3</t>
    </r>
  </si>
  <si>
    <t xml:space="preserve">       FORFAITS MOTO</t>
  </si>
  <si>
    <t>3 à 4 CV</t>
  </si>
  <si>
    <t>OPTION</t>
  </si>
  <si>
    <r>
      <t>P</t>
    </r>
    <r>
      <rPr>
        <sz val="12"/>
        <rFont val="Arial"/>
        <family val="2"/>
      </rPr>
      <t xml:space="preserve"> Entreprise bailleresse :</t>
    </r>
  </si>
  <si>
    <r>
      <t>C</t>
    </r>
    <r>
      <rPr>
        <sz val="12"/>
        <rFont val="Arial"/>
        <family val="2"/>
      </rPr>
      <t xml:space="preserve"> Dénomination :</t>
    </r>
  </si>
  <si>
    <r>
      <t>C</t>
    </r>
    <r>
      <rPr>
        <sz val="12"/>
        <rFont val="Arial"/>
        <family val="2"/>
      </rPr>
      <t xml:space="preserve"> Adresse :</t>
    </r>
  </si>
  <si>
    <r>
      <t>P</t>
    </r>
    <r>
      <rPr>
        <sz val="12"/>
        <rFont val="Arial"/>
        <family val="2"/>
      </rPr>
      <t xml:space="preserve"> Date du contrat :</t>
    </r>
  </si>
  <si>
    <r>
      <t>C</t>
    </r>
    <r>
      <rPr>
        <sz val="12"/>
        <rFont val="Arial"/>
        <family val="2"/>
      </rPr>
      <t xml:space="preserve"> Type :</t>
    </r>
  </si>
  <si>
    <r>
      <t>C</t>
    </r>
    <r>
      <rPr>
        <sz val="12"/>
        <rFont val="Arial"/>
        <family val="2"/>
      </rPr>
      <t xml:space="preserve"> Immatriculation :</t>
    </r>
  </si>
  <si>
    <r>
      <t> </t>
    </r>
    <r>
      <rPr>
        <b/>
        <sz val="12"/>
        <rFont val="Arial"/>
        <family val="2"/>
      </rPr>
      <t xml:space="preserve"> Type et Immatriculation du véhicule concerné :</t>
    </r>
  </si>
  <si>
    <r>
      <t> </t>
    </r>
    <r>
      <rPr>
        <b/>
        <sz val="12"/>
        <rFont val="Arial"/>
        <family val="2"/>
      </rPr>
      <t xml:space="preserve"> Nombre total de kilomètres parcourus :</t>
    </r>
  </si>
  <si>
    <r>
      <t>P</t>
    </r>
    <r>
      <rPr>
        <sz val="12"/>
        <rFont val="Arial"/>
        <family val="2"/>
      </rPr>
      <t xml:space="preserve"> Nombre de kilomètres parcourus</t>
    </r>
  </si>
  <si>
    <t xml:space="preserve">    à titre professionnel :</t>
  </si>
  <si>
    <r>
      <t> </t>
    </r>
    <r>
      <rPr>
        <b/>
        <sz val="12"/>
        <rFont val="Arial"/>
        <family val="2"/>
      </rPr>
      <t xml:space="preserve"> Montant forfaitaire des frais de carburant :</t>
    </r>
  </si>
  <si>
    <t>Fait à</t>
  </si>
  <si>
    <t>Le</t>
  </si>
  <si>
    <t>Signature :</t>
  </si>
  <si>
    <r>
      <t> </t>
    </r>
    <r>
      <rPr>
        <b/>
        <sz val="12"/>
        <rFont val="Arial"/>
        <family val="2"/>
      </rPr>
      <t xml:space="preserve"> C</t>
    </r>
    <r>
      <rPr>
        <b/>
        <sz val="12"/>
        <rFont val="Arial"/>
        <family val="2"/>
      </rPr>
      <t>ontrat de crédit-bail ou de location</t>
    </r>
  </si>
  <si>
    <t>1 ou 2 CV</t>
  </si>
  <si>
    <t>M.</t>
  </si>
  <si>
    <t>Puissance Fiscale Moto (CV) :</t>
  </si>
  <si>
    <t>Puissance Fiscale Auto (CV) :</t>
  </si>
  <si>
    <t>Renseigner :</t>
  </si>
  <si>
    <t>Associé(e) n° 1 :</t>
  </si>
  <si>
    <t>ATTENTION : mise à jour auto avec feuille masquée "Calculs"</t>
  </si>
  <si>
    <t xml:space="preserve">Raison Sociale :   </t>
  </si>
  <si>
    <t>Associé(e) n° 2 :</t>
  </si>
  <si>
    <t>Associé(e) n° 3 :</t>
  </si>
  <si>
    <t>Associé(e) n° 4 :</t>
  </si>
  <si>
    <t>Associé(e) n° 5 :</t>
  </si>
  <si>
    <t>IK GENERAL AUTO asso 1</t>
  </si>
  <si>
    <t>IK GENERAL MOTO asso 1</t>
  </si>
  <si>
    <t>IK GENERAL AUTO asso 2</t>
  </si>
  <si>
    <t>IK GENERAL MOTO asso 2</t>
  </si>
  <si>
    <t>IK GENERAL AUTO asso 3</t>
  </si>
  <si>
    <t>IK GENERAL MOTO asso 3</t>
  </si>
  <si>
    <t>IK GENERAL AUTO asso 4</t>
  </si>
  <si>
    <t>IK GENERAL MOTO asso 4</t>
  </si>
  <si>
    <t>IK GENERAL AUTO asso 5</t>
  </si>
  <si>
    <t>IK GENERAL MOTO asso 5</t>
  </si>
  <si>
    <t>CALCUL DES INDEMNITÉS KILOMÉTRIQUES EN SOCIÉTÉ</t>
  </si>
  <si>
    <t>FORFAIT KILOMÉTRIQUE GÉNÉRAL  :</t>
  </si>
  <si>
    <t>Lien vers la Documentation (§ 610 du BOI)</t>
  </si>
  <si>
    <t>FORFAIT KILOMÉTRIQUE GÉNÉRAL :</t>
  </si>
  <si>
    <r>
      <t xml:space="preserve">       </t>
    </r>
    <r>
      <rPr>
        <b/>
        <sz val="28"/>
        <color indexed="56"/>
        <rFont val="Arial"/>
        <family val="2"/>
      </rPr>
      <t>FORFAITS AUTO</t>
    </r>
  </si>
  <si>
    <t>FORFAIT BIC CARBURANT :</t>
  </si>
  <si>
    <t>Electrique</t>
  </si>
  <si>
    <r>
      <t xml:space="preserve"> Energie :</t>
    </r>
    <r>
      <rPr>
        <b/>
        <sz val="10"/>
        <color rgb="FF0D4174"/>
        <rFont val="Arial"/>
        <family val="2"/>
      </rPr>
      <t xml:space="preserve">  </t>
    </r>
  </si>
  <si>
    <t>Puissance :</t>
  </si>
  <si>
    <t>+</t>
  </si>
  <si>
    <t>7 CV et +</t>
  </si>
  <si>
    <t xml:space="preserve">     À cocher si le véhicule est un véhicule 100 % électrique</t>
  </si>
  <si>
    <t xml:space="preserve">     À cocher si la moto est une moto 100 % électrique</t>
  </si>
  <si>
    <t>FORFAIT BIC CARBURANT - MOTOS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</si>
</sst>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00"/>
  </numFmts>
  <fonts count="48" x14ac:knownFonts="1">
    <font>
      <sz val="10"/>
      <name val="Arial"/>
    </font>
    <font>
      <b/>
      <sz val="28"/>
      <color indexed="4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color indexed="12"/>
      <name val="Arial"/>
      <family val="2"/>
    </font>
    <font>
      <b/>
      <u/>
      <sz val="11"/>
      <color indexed="48"/>
      <name val="Arial"/>
      <family val="2"/>
    </font>
    <font>
      <b/>
      <sz val="12"/>
      <color indexed="16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sz val="12"/>
      <color indexed="16"/>
      <name val="Arial"/>
      <family val="2"/>
    </font>
    <font>
      <b/>
      <sz val="12"/>
      <color indexed="53"/>
      <name val="Arial"/>
      <family val="2"/>
    </font>
    <font>
      <b/>
      <sz val="12"/>
      <color indexed="6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Wingdings 2"/>
      <family val="1"/>
      <charset val="2"/>
    </font>
    <font>
      <b/>
      <sz val="12"/>
      <name val="Wingdings 2"/>
      <family val="1"/>
      <charset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28"/>
      <color indexed="56"/>
      <name val="Arial"/>
      <family val="2"/>
    </font>
    <font>
      <b/>
      <sz val="12"/>
      <color rgb="FF104274"/>
      <name val="Arial"/>
      <family val="2"/>
    </font>
    <font>
      <b/>
      <u/>
      <sz val="11"/>
      <color rgb="FF104274"/>
      <name val="Arial"/>
      <family val="2"/>
    </font>
    <font>
      <b/>
      <sz val="28"/>
      <color rgb="FF104274"/>
      <name val="Arial"/>
      <family val="2"/>
    </font>
    <font>
      <b/>
      <sz val="11"/>
      <color rgb="FF104274"/>
      <name val="Arial"/>
      <family val="2"/>
    </font>
    <font>
      <b/>
      <sz val="18"/>
      <color rgb="FF104274"/>
      <name val="Arial"/>
      <family val="2"/>
    </font>
    <font>
      <sz val="10"/>
      <name val="Arial"/>
      <family val="2"/>
    </font>
    <font>
      <b/>
      <i/>
      <u/>
      <sz val="12"/>
      <color rgb="FFC00000"/>
      <name val="Arial"/>
      <family val="2"/>
    </font>
    <font>
      <sz val="10"/>
      <color rgb="FF0D4174"/>
      <name val="Arial"/>
      <family val="2"/>
    </font>
    <font>
      <b/>
      <u/>
      <sz val="11"/>
      <color rgb="FF0D4174"/>
      <name val="Arial"/>
      <family val="2"/>
    </font>
    <font>
      <b/>
      <sz val="10"/>
      <color rgb="FF0D4174"/>
      <name val="Arial"/>
      <family val="2"/>
    </font>
    <font>
      <b/>
      <sz val="12"/>
      <color rgb="FF0D4174"/>
      <name val="Arial"/>
      <family val="2"/>
    </font>
    <font>
      <b/>
      <u/>
      <sz val="12"/>
      <color rgb="FF0D4174"/>
      <name val="Arial"/>
      <family val="2"/>
    </font>
    <font>
      <b/>
      <u/>
      <sz val="10"/>
      <color rgb="FF0D4174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2"/>
      <color rgb="FFC00000"/>
      <name val="Arial"/>
      <family val="2"/>
    </font>
    <font>
      <b/>
      <i/>
      <sz val="12"/>
      <color rgb="FF0D4174"/>
      <name val="Arial"/>
      <family val="2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sz val="8"/>
      <color rgb="FFC00000"/>
      <name val="Arial"/>
      <family val="2"/>
    </font>
    <font>
      <b/>
      <sz val="11"/>
      <color rgb="FF0D4174"/>
      <name val="Arial"/>
      <family val="2"/>
    </font>
    <font>
      <sz val="10"/>
      <name val="Arial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8FD1DE"/>
        <bgColor indexed="64"/>
      </patternFill>
    </fill>
    <fill>
      <patternFill patternType="solid">
        <fgColor rgb="FF8ECF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0" fillId="0" borderId="0" xfId="0" applyFill="1" applyProtection="1"/>
    <xf numFmtId="0" fontId="4" fillId="0" borderId="0" xfId="0" applyFont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19" fillId="0" borderId="0" xfId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Fill="1" applyBorder="1" applyAlignment="1" applyProtection="1"/>
    <xf numFmtId="0" fontId="0" fillId="0" borderId="0" xfId="0" applyBorder="1" applyProtection="1"/>
    <xf numFmtId="0" fontId="0" fillId="0" borderId="7" xfId="0" applyFill="1" applyBorder="1" applyAlignment="1" applyProtection="1">
      <alignment horizontal="left"/>
    </xf>
    <xf numFmtId="0" fontId="20" fillId="0" borderId="7" xfId="0" applyFont="1" applyBorder="1" applyAlignment="1" applyProtection="1">
      <alignment vertical="center" wrapText="1"/>
    </xf>
    <xf numFmtId="0" fontId="0" fillId="0" borderId="7" xfId="0" applyBorder="1" applyProtection="1"/>
    <xf numFmtId="164" fontId="0" fillId="0" borderId="0" xfId="0" applyNumberFormat="1" applyProtection="1"/>
    <xf numFmtId="0" fontId="22" fillId="0" borderId="0" xfId="0" applyFont="1" applyBorder="1" applyProtection="1"/>
    <xf numFmtId="0" fontId="12" fillId="0" borderId="0" xfId="0" applyFont="1" applyProtection="1"/>
    <xf numFmtId="0" fontId="12" fillId="0" borderId="6" xfId="0" applyFont="1" applyBorder="1" applyProtection="1"/>
    <xf numFmtId="0" fontId="12" fillId="0" borderId="0" xfId="0" applyFont="1" applyBorder="1" applyProtection="1"/>
    <xf numFmtId="0" fontId="12" fillId="0" borderId="7" xfId="0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4" fillId="0" borderId="0" xfId="0" applyFont="1" applyProtection="1"/>
    <xf numFmtId="0" fontId="16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Border="1" applyAlignment="1" applyProtection="1">
      <alignment horizontal="center"/>
    </xf>
    <xf numFmtId="0" fontId="16" fillId="0" borderId="0" xfId="0" applyFont="1" applyProtection="1"/>
    <xf numFmtId="0" fontId="17" fillId="0" borderId="0" xfId="0" applyFont="1" applyProtection="1"/>
    <xf numFmtId="0" fontId="8" fillId="0" borderId="0" xfId="0" applyFont="1" applyProtection="1"/>
    <xf numFmtId="0" fontId="24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>
      <alignment horizontal="right" vertical="center"/>
    </xf>
    <xf numFmtId="0" fontId="29" fillId="0" borderId="0" xfId="0" applyFont="1"/>
    <xf numFmtId="0" fontId="30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1" fillId="0" borderId="0" xfId="0" applyFont="1" applyProtection="1"/>
    <xf numFmtId="0" fontId="33" fillId="0" borderId="0" xfId="0" applyFont="1" applyAlignment="1" applyProtection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3" fontId="34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Continuous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37" fillId="0" borderId="0" xfId="0" applyFont="1" applyProtection="1"/>
    <xf numFmtId="0" fontId="39" fillId="0" borderId="0" xfId="0" applyFont="1" applyAlignment="1" applyProtection="1">
      <alignment horizontal="left"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Protection="1"/>
    <xf numFmtId="0" fontId="41" fillId="0" borderId="0" xfId="0" applyFont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left" vertical="center"/>
    </xf>
    <xf numFmtId="0" fontId="37" fillId="0" borderId="0" xfId="0" applyFont="1" applyBorder="1" applyProtection="1"/>
    <xf numFmtId="164" fontId="40" fillId="0" borderId="0" xfId="0" applyNumberFormat="1" applyFont="1" applyBorder="1" applyAlignment="1" applyProtection="1">
      <alignment horizontal="center"/>
    </xf>
    <xf numFmtId="0" fontId="43" fillId="0" borderId="0" xfId="0" applyFont="1" applyBorder="1" applyProtection="1"/>
    <xf numFmtId="0" fontId="44" fillId="0" borderId="0" xfId="0" applyFont="1" applyBorder="1" applyProtection="1"/>
    <xf numFmtId="0" fontId="33" fillId="0" borderId="0" xfId="0" applyFont="1" applyBorder="1" applyProtection="1"/>
    <xf numFmtId="0" fontId="31" fillId="0" borderId="0" xfId="0" applyFont="1" applyBorder="1" applyProtection="1"/>
    <xf numFmtId="0" fontId="31" fillId="0" borderId="0" xfId="0" applyFont="1" applyFill="1" applyBorder="1" applyAlignment="1" applyProtection="1">
      <alignment horizontal="left"/>
    </xf>
    <xf numFmtId="0" fontId="33" fillId="0" borderId="0" xfId="0" applyFont="1" applyBorder="1" applyAlignment="1" applyProtection="1">
      <alignment vertical="center"/>
    </xf>
    <xf numFmtId="3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4" fillId="0" borderId="6" xfId="0" applyFont="1" applyBorder="1" applyProtection="1"/>
    <xf numFmtId="0" fontId="42" fillId="0" borderId="0" xfId="0" applyFont="1" applyBorder="1" applyAlignment="1" applyProtection="1">
      <alignment horizontal="center" vertical="center" wrapText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0" fontId="0" fillId="0" borderId="7" xfId="0" applyBorder="1"/>
    <xf numFmtId="3" fontId="0" fillId="0" borderId="6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3" fontId="0" fillId="0" borderId="0" xfId="0" applyNumberFormat="1" applyBorder="1"/>
    <xf numFmtId="0" fontId="0" fillId="2" borderId="0" xfId="0" applyFill="1" applyBorder="1"/>
    <xf numFmtId="0" fontId="0" fillId="0" borderId="6" xfId="0" quotePrefix="1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6" xfId="0" applyBorder="1"/>
    <xf numFmtId="0" fontId="29" fillId="0" borderId="8" xfId="0" applyFont="1" applyBorder="1"/>
    <xf numFmtId="0" fontId="0" fillId="0" borderId="1" xfId="0" applyBorder="1"/>
    <xf numFmtId="0" fontId="0" fillId="0" borderId="9" xfId="0" applyBorder="1"/>
    <xf numFmtId="0" fontId="29" fillId="0" borderId="6" xfId="0" applyFont="1" applyBorder="1"/>
    <xf numFmtId="0" fontId="0" fillId="0" borderId="8" xfId="0" applyBorder="1"/>
    <xf numFmtId="0" fontId="29" fillId="0" borderId="0" xfId="0" applyFont="1" applyBorder="1"/>
    <xf numFmtId="0" fontId="34" fillId="0" borderId="0" xfId="0" applyFont="1" applyAlignment="1" applyProtection="1">
      <alignment horizontal="right" vertical="center"/>
    </xf>
    <xf numFmtId="0" fontId="34" fillId="3" borderId="2" xfId="0" applyFont="1" applyFill="1" applyBorder="1" applyAlignment="1" applyProtection="1">
      <alignment horizontal="center" vertical="center"/>
    </xf>
    <xf numFmtId="0" fontId="34" fillId="3" borderId="2" xfId="0" applyFont="1" applyFill="1" applyBorder="1" applyAlignment="1" applyProtection="1">
      <alignment horizontal="centerContinuous" vertical="center"/>
    </xf>
    <xf numFmtId="0" fontId="34" fillId="3" borderId="2" xfId="0" applyFont="1" applyFill="1" applyBorder="1" applyAlignment="1" applyProtection="1">
      <alignment horizontal="centerContinuous" vertical="center"/>
      <protection locked="0"/>
    </xf>
    <xf numFmtId="10" fontId="0" fillId="0" borderId="0" xfId="2" applyNumberFormat="1" applyFont="1"/>
    <xf numFmtId="9" fontId="0" fillId="0" borderId="0" xfId="2" applyFont="1"/>
    <xf numFmtId="0" fontId="47" fillId="0" borderId="0" xfId="0" applyFont="1" applyAlignment="1" applyProtection="1">
      <alignment horizontal="center" vertical="center" wrapText="1"/>
    </xf>
    <xf numFmtId="0" fontId="34" fillId="3" borderId="10" xfId="0" applyFont="1" applyFill="1" applyBorder="1" applyAlignment="1" applyProtection="1">
      <alignment horizontal="left" vertical="center"/>
      <protection locked="0"/>
    </xf>
    <xf numFmtId="0" fontId="34" fillId="3" borderId="11" xfId="0" applyFont="1" applyFill="1" applyBorder="1" applyAlignment="1" applyProtection="1">
      <alignment horizontal="left" vertical="center"/>
      <protection locked="0"/>
    </xf>
    <xf numFmtId="0" fontId="34" fillId="3" borderId="12" xfId="0" applyFont="1" applyFill="1" applyBorder="1" applyAlignment="1" applyProtection="1">
      <alignment horizontal="left" vertical="center"/>
      <protection locked="0"/>
    </xf>
    <xf numFmtId="0" fontId="34" fillId="3" borderId="10" xfId="0" applyFont="1" applyFill="1" applyBorder="1" applyAlignment="1" applyProtection="1">
      <alignment horizontal="center" vertical="center"/>
      <protection locked="0"/>
    </xf>
    <xf numFmtId="0" fontId="34" fillId="3" borderId="12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7" fillId="0" borderId="0" xfId="0" quotePrefix="1" applyFont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wrapText="1"/>
    </xf>
    <xf numFmtId="0" fontId="33" fillId="0" borderId="6" xfId="0" applyFont="1" applyBorder="1" applyAlignment="1" applyProtection="1">
      <alignment horizontal="center" vertical="center" wrapText="1"/>
    </xf>
    <xf numFmtId="3" fontId="34" fillId="0" borderId="0" xfId="0" applyNumberFormat="1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3" fillId="3" borderId="10" xfId="0" applyFont="1" applyFill="1" applyBorder="1" applyAlignment="1" applyProtection="1">
      <alignment horizontal="left" vertical="center"/>
      <protection locked="0"/>
    </xf>
    <xf numFmtId="0" fontId="33" fillId="3" borderId="11" xfId="0" applyFont="1" applyFill="1" applyBorder="1" applyAlignment="1" applyProtection="1">
      <alignment horizontal="left" vertical="center"/>
      <protection locked="0"/>
    </xf>
    <xf numFmtId="0" fontId="33" fillId="3" borderId="12" xfId="0" applyFont="1" applyFill="1" applyBorder="1" applyAlignment="1" applyProtection="1">
      <alignment horizontal="left" vertical="center"/>
      <protection locked="0"/>
    </xf>
    <xf numFmtId="0" fontId="33" fillId="3" borderId="10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 applyProtection="1">
      <alignment horizontal="left"/>
      <protection locked="0"/>
    </xf>
    <xf numFmtId="0" fontId="19" fillId="0" borderId="10" xfId="1" applyBorder="1" applyAlignment="1" applyProtection="1">
      <alignment horizontal="center" vertical="center"/>
      <protection locked="0"/>
    </xf>
    <xf numFmtId="0" fontId="19" fillId="0" borderId="11" xfId="1" applyBorder="1" applyAlignment="1" applyProtection="1">
      <alignment horizontal="center" vertical="center"/>
      <protection locked="0"/>
    </xf>
    <xf numFmtId="0" fontId="19" fillId="0" borderId="12" xfId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4" fontId="40" fillId="0" borderId="0" xfId="0" applyNumberFormat="1" applyFont="1" applyBorder="1" applyAlignment="1" applyProtection="1">
      <alignment horizontal="center"/>
    </xf>
    <xf numFmtId="0" fontId="42" fillId="0" borderId="0" xfId="0" applyFont="1" applyBorder="1" applyAlignment="1" applyProtection="1">
      <alignment horizontal="center" vertical="center" wrapText="1"/>
    </xf>
    <xf numFmtId="0" fontId="47" fillId="0" borderId="0" xfId="0" quotePrefix="1" applyFont="1" applyAlignment="1" applyProtection="1">
      <alignment horizontal="center" wrapText="1"/>
    </xf>
    <xf numFmtId="0" fontId="47" fillId="0" borderId="0" xfId="0" applyFont="1" applyAlignment="1" applyProtection="1">
      <alignment horizontal="center" wrapText="1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5"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4174"/>
      <color rgb="FF8ECFDD"/>
      <color rgb="FFFAC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22" fmlaLink="Calculs!$H$1" fmlaRange="Calculs!$G$2:$G$6" sel="1" val="0"/>
</file>

<file path=xl/ctrlProps/ctrlProp10.xml><?xml version="1.0" encoding="utf-8"?>
<formControlPr xmlns="http://schemas.microsoft.com/office/spreadsheetml/2009/9/main" objectType="Drop" dropLines="12" dropStyle="combo" dx="22" fmlaLink="'Calculs stes'!$H$2" fmlaRange="'Calculs stes'!$G$2:$G$13" sel="1" val="0"/>
</file>

<file path=xl/ctrlProps/ctrlProp11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ctrlProps/ctrlProp12.xml><?xml version="1.0" encoding="utf-8"?>
<formControlPr xmlns="http://schemas.microsoft.com/office/spreadsheetml/2009/9/main" objectType="Drop" dropLines="6" dropStyle="combo" dx="22" fmlaLink="'Calculs stes'!$H$33" fmlaRange="'Calculs stes'!$G$33:$G$38" sel="1" val="0"/>
</file>

<file path=xl/ctrlProps/ctrlProp13.xml><?xml version="1.0" encoding="utf-8"?>
<formControlPr xmlns="http://schemas.microsoft.com/office/spreadsheetml/2009/9/main" objectType="Drop" dropLines="5" dropStyle="combo" dx="22" fmlaLink="'Calculs stes'!$H$53" fmlaRange="'Calculs stes'!$G$53:$G$57" sel="1" val="0"/>
</file>

<file path=xl/ctrlProps/ctrlProp14.xml><?xml version="1.0" encoding="utf-8"?>
<formControlPr xmlns="http://schemas.microsoft.com/office/spreadsheetml/2009/9/main" objectType="Drop" dropLines="6" dropStyle="combo" dx="22" fmlaLink="'Calculs stes'!$H$64" fmlaRange="'Calculs stes'!$G$64:$G$69" sel="1" val="0"/>
</file>

<file path=xl/ctrlProps/ctrlProp15.xml><?xml version="1.0" encoding="utf-8"?>
<formControlPr xmlns="http://schemas.microsoft.com/office/spreadsheetml/2009/9/main" objectType="Drop" dropLines="5" dropStyle="combo" dx="22" fmlaLink="'Calculs stes'!$H$84" fmlaRange="'Calculs stes'!$G$84:$G$88" sel="1" val="0"/>
</file>

<file path=xl/ctrlProps/ctrlProp16.xml><?xml version="1.0" encoding="utf-8"?>
<formControlPr xmlns="http://schemas.microsoft.com/office/spreadsheetml/2009/9/main" objectType="Drop" dropLines="6" dropStyle="combo" dx="22" fmlaLink="'Calculs stes'!$H$95" fmlaRange="'Calculs stes'!$G$95:$G$100" sel="1" val="0"/>
</file>

<file path=xl/ctrlProps/ctrlProp17.xml><?xml version="1.0" encoding="utf-8"?>
<formControlPr xmlns="http://schemas.microsoft.com/office/spreadsheetml/2009/9/main" objectType="Drop" dropLines="5" dropStyle="combo" dx="22" fmlaLink="'Calculs stes'!$H$115" fmlaRange="'Calculs stes'!$G$115:$G$119" sel="1" val="0"/>
</file>

<file path=xl/ctrlProps/ctrlProp18.xml><?xml version="1.0" encoding="utf-8"?>
<formControlPr xmlns="http://schemas.microsoft.com/office/spreadsheetml/2009/9/main" objectType="Drop" dropLines="6" dropStyle="combo" dx="22" fmlaLink="'Calculs stes'!$H$126" fmlaRange="'Calculs stes'!$G$126:$G$131" sel="1" val="0"/>
</file>

<file path=xl/ctrlProps/ctrlProp19.xml><?xml version="1.0" encoding="utf-8"?>
<formControlPr xmlns="http://schemas.microsoft.com/office/spreadsheetml/2009/9/main" objectType="Drop" dropLines="5" dropStyle="combo" dx="22" fmlaLink="'Calculs stes'!$H$146" fmlaRange="'Calculs stes'!$G$146:$G$150" sel="1" val="0"/>
</file>

<file path=xl/ctrlProps/ctrlProp2.xml><?xml version="1.0" encoding="utf-8"?>
<formControlPr xmlns="http://schemas.microsoft.com/office/spreadsheetml/2009/9/main" objectType="Drop" dropLines="5" dropStyle="combo" dx="22" fmlaLink="Calculs!$H$19" fmlaRange="Calculs!$G$20:$G$24" sel="1" val="0"/>
</file>

<file path=xl/ctrlProps/ctrlProp20.xml><?xml version="1.0" encoding="utf-8"?>
<formControlPr xmlns="http://schemas.microsoft.com/office/spreadsheetml/2009/9/main" objectType="CheckBox" fmlaLink="'Calculs stes'!$B$31" lockText="1" noThreeD="1"/>
</file>

<file path=xl/ctrlProps/ctrlProp21.xml><?xml version="1.0" encoding="utf-8"?>
<formControlPr xmlns="http://schemas.microsoft.com/office/spreadsheetml/2009/9/main" objectType="CheckBox" fmlaLink="'Calculs stes'!$B$62" lockText="1" noThreeD="1"/>
</file>

<file path=xl/ctrlProps/ctrlProp22.xml><?xml version="1.0" encoding="utf-8"?>
<formControlPr xmlns="http://schemas.microsoft.com/office/spreadsheetml/2009/9/main" objectType="CheckBox" fmlaLink="'Calculs stes'!$B$93" lockText="1" noThreeD="1"/>
</file>

<file path=xl/ctrlProps/ctrlProp23.xml><?xml version="1.0" encoding="utf-8"?>
<formControlPr xmlns="http://schemas.microsoft.com/office/spreadsheetml/2009/9/main" objectType="CheckBox" fmlaLink="'Calculs stes'!$B$124" lockText="1" noThreeD="1"/>
</file>

<file path=xl/ctrlProps/ctrlProp24.xml><?xml version="1.0" encoding="utf-8"?>
<formControlPr xmlns="http://schemas.microsoft.com/office/spreadsheetml/2009/9/main" objectType="CheckBox" fmlaLink="'Calculs stes'!$B$155" lockText="1" noThreeD="1"/>
</file>

<file path=xl/ctrlProps/ctrlProp3.xml><?xml version="1.0" encoding="utf-8"?>
<formControlPr xmlns="http://schemas.microsoft.com/office/spreadsheetml/2009/9/main" objectType="Drop" dropLines="4" dropStyle="combo" dx="22" fmlaLink="Calculs!$H$26" fmlaRange="Calculs!$G$26:$G$28" sel="1" val="0"/>
</file>

<file path=xl/ctrlProps/ctrlProp4.xml><?xml version="1.0" encoding="utf-8"?>
<formControlPr xmlns="http://schemas.microsoft.com/office/spreadsheetml/2009/9/main" objectType="CheckBox" fmlaLink="Calculs!H8" lockText="1" noThreeD="1"/>
</file>

<file path=xl/ctrlProps/ctrlProp5.xml><?xml version="1.0" encoding="utf-8"?>
<formControlPr xmlns="http://schemas.microsoft.com/office/spreadsheetml/2009/9/main" objectType="Drop" dropLines="4" dropStyle="combo" dx="22" fmlaLink="Calculs!$H$32" fmlaRange="Calculs!$G$33:$G$36" sel="1" val="0"/>
</file>

<file path=xl/ctrlProps/ctrlProp6.xml><?xml version="1.0" encoding="utf-8"?>
<formControlPr xmlns="http://schemas.microsoft.com/office/spreadsheetml/2009/9/main" objectType="Drop" dropLines="4" dropStyle="combo" dx="22" fmlaLink="Calculs!$H$42" fmlaRange="Calculs!$G$42:$G$45" sel="1" val="0"/>
</file>

<file path=xl/ctrlProps/ctrlProp7.xml><?xml version="1.0" encoding="utf-8"?>
<formControlPr xmlns="http://schemas.microsoft.com/office/spreadsheetml/2009/9/main" objectType="CheckBox" fmlaLink="Calculs!H38" lockText="1" noThreeD="1"/>
</file>

<file path=xl/ctrlProps/ctrlProp8.xml><?xml version="1.0" encoding="utf-8"?>
<formControlPr xmlns="http://schemas.microsoft.com/office/spreadsheetml/2009/9/main" objectType="Drop" dropLines="6" dropStyle="combo" dx="22" fmlaLink="'Calculs stes'!$H$2" fmlaRange="'Calculs stes'!$G$2:$G$7" sel="1" val="0"/>
</file>

<file path=xl/ctrlProps/ctrlProp9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0</xdr:colOff>
          <xdr:row>11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28575</xdr:rowOff>
        </xdr:from>
        <xdr:to>
          <xdr:col>3</xdr:col>
          <xdr:colOff>1114425</xdr:colOff>
          <xdr:row>22</xdr:row>
          <xdr:rowOff>228600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0</xdr:colOff>
          <xdr:row>26</xdr:row>
          <xdr:rowOff>28575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9</xdr:row>
          <xdr:rowOff>95250</xdr:rowOff>
        </xdr:from>
        <xdr:to>
          <xdr:col>3</xdr:col>
          <xdr:colOff>38100</xdr:colOff>
          <xdr:row>10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66675</xdr:rowOff>
        </xdr:from>
        <xdr:to>
          <xdr:col>4</xdr:col>
          <xdr:colOff>0</xdr:colOff>
          <xdr:row>7</xdr:row>
          <xdr:rowOff>266700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9525</xdr:rowOff>
        </xdr:from>
        <xdr:to>
          <xdr:col>4</xdr:col>
          <xdr:colOff>0</xdr:colOff>
          <xdr:row>19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3</xdr:col>
          <xdr:colOff>47625</xdr:colOff>
          <xdr:row>8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28575</xdr:rowOff>
    </xdr:from>
    <xdr:to>
      <xdr:col>0</xdr:col>
      <xdr:colOff>247650</xdr:colOff>
      <xdr:row>102</xdr:row>
      <xdr:rowOff>152400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12</xdr:row>
          <xdr:rowOff>0</xdr:rowOff>
        </xdr:from>
        <xdr:to>
          <xdr:col>4</xdr:col>
          <xdr:colOff>895350</xdr:colOff>
          <xdr:row>13</xdr:row>
          <xdr:rowOff>9525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13</xdr:row>
          <xdr:rowOff>0</xdr:rowOff>
        </xdr:from>
        <xdr:to>
          <xdr:col>4</xdr:col>
          <xdr:colOff>895350</xdr:colOff>
          <xdr:row>14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52</xdr:row>
          <xdr:rowOff>0</xdr:rowOff>
        </xdr:from>
        <xdr:to>
          <xdr:col>4</xdr:col>
          <xdr:colOff>895350</xdr:colOff>
          <xdr:row>53</xdr:row>
          <xdr:rowOff>9525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53</xdr:row>
          <xdr:rowOff>0</xdr:rowOff>
        </xdr:from>
        <xdr:to>
          <xdr:col>4</xdr:col>
          <xdr:colOff>895350</xdr:colOff>
          <xdr:row>54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72</xdr:row>
          <xdr:rowOff>0</xdr:rowOff>
        </xdr:from>
        <xdr:to>
          <xdr:col>4</xdr:col>
          <xdr:colOff>895350</xdr:colOff>
          <xdr:row>73</xdr:row>
          <xdr:rowOff>9525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73</xdr:row>
          <xdr:rowOff>0</xdr:rowOff>
        </xdr:from>
        <xdr:to>
          <xdr:col>4</xdr:col>
          <xdr:colOff>895350</xdr:colOff>
          <xdr:row>74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92</xdr:row>
          <xdr:rowOff>0</xdr:rowOff>
        </xdr:from>
        <xdr:to>
          <xdr:col>4</xdr:col>
          <xdr:colOff>895350</xdr:colOff>
          <xdr:row>93</xdr:row>
          <xdr:rowOff>9525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93</xdr:row>
          <xdr:rowOff>0</xdr:rowOff>
        </xdr:from>
        <xdr:to>
          <xdr:col>4</xdr:col>
          <xdr:colOff>895350</xdr:colOff>
          <xdr:row>94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19050</xdr:rowOff>
        </xdr:from>
        <xdr:to>
          <xdr:col>4</xdr:col>
          <xdr:colOff>85725</xdr:colOff>
          <xdr:row>15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4</xdr:col>
          <xdr:colOff>85725</xdr:colOff>
          <xdr:row>35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</xdr:row>
          <xdr:rowOff>28575</xdr:rowOff>
        </xdr:from>
        <xdr:to>
          <xdr:col>4</xdr:col>
          <xdr:colOff>95250</xdr:colOff>
          <xdr:row>55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74</xdr:row>
          <xdr:rowOff>28575</xdr:rowOff>
        </xdr:from>
        <xdr:to>
          <xdr:col>4</xdr:col>
          <xdr:colOff>95250</xdr:colOff>
          <xdr:row>75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28575</xdr:rowOff>
        </xdr:from>
        <xdr:to>
          <xdr:col>4</xdr:col>
          <xdr:colOff>104775</xdr:colOff>
          <xdr:row>95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hyperlink" Target="http://bofip.impots.gouv.fr/bofip/4634-PGP.html?identifiant=BOI-BNC-BASE-40-60-40-20-20160830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</sheetPr>
  <dimension ref="A1:N32"/>
  <sheetViews>
    <sheetView showGridLines="0" showRowColHeaders="0" showZeros="0" tabSelected="1" workbookViewId="0">
      <selection activeCell="C3" sqref="C3:F3"/>
    </sheetView>
  </sheetViews>
  <sheetFormatPr baseColWidth="10" defaultColWidth="11.42578125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8" width="11.42578125" style="10"/>
    <col min="9" max="9" width="2.42578125" style="10" customWidth="1"/>
    <col min="10" max="16384" width="11.42578125" style="10"/>
  </cols>
  <sheetData>
    <row r="1" spans="2:14" ht="42.75" customHeight="1" x14ac:dyDescent="0.2">
      <c r="B1" s="128" t="s">
        <v>82</v>
      </c>
      <c r="C1" s="128"/>
      <c r="D1" s="128"/>
      <c r="E1" s="128"/>
      <c r="F1" s="128"/>
      <c r="G1" s="9"/>
      <c r="H1" s="120"/>
      <c r="I1" s="120"/>
      <c r="J1" s="120"/>
      <c r="K1" s="120"/>
      <c r="L1" s="120"/>
      <c r="M1" s="120"/>
      <c r="N1" s="120"/>
    </row>
    <row r="2" spans="2:14" ht="13.5" customHeight="1" x14ac:dyDescent="0.2">
      <c r="B2" s="8"/>
      <c r="C2" s="8"/>
      <c r="D2" s="8"/>
      <c r="E2" s="8"/>
      <c r="F2" s="8"/>
      <c r="G2" s="9"/>
      <c r="H2" s="9"/>
    </row>
    <row r="3" spans="2:14" ht="16.5" customHeight="1" x14ac:dyDescent="0.2">
      <c r="B3" s="55" t="s">
        <v>0</v>
      </c>
      <c r="C3" s="121"/>
      <c r="D3" s="122"/>
      <c r="E3" s="122"/>
      <c r="F3" s="123"/>
      <c r="G3" s="9"/>
      <c r="H3" s="9"/>
    </row>
    <row r="4" spans="2:14" ht="17.25" customHeight="1" x14ac:dyDescent="0.2">
      <c r="B4" s="55" t="s">
        <v>1</v>
      </c>
      <c r="C4" s="121"/>
      <c r="D4" s="122"/>
      <c r="E4" s="122"/>
      <c r="F4" s="123"/>
      <c r="G4" s="9"/>
      <c r="H4" s="9"/>
    </row>
    <row r="5" spans="2:14" ht="17.25" customHeight="1" x14ac:dyDescent="0.2">
      <c r="B5" s="55" t="s">
        <v>2</v>
      </c>
      <c r="C5" s="124"/>
      <c r="D5" s="125"/>
      <c r="E5" s="114" t="s">
        <v>23</v>
      </c>
      <c r="F5" s="117">
        <v>2025</v>
      </c>
      <c r="G5" s="9"/>
      <c r="H5" s="9"/>
    </row>
    <row r="6" spans="2:14" ht="12.75" customHeight="1" x14ac:dyDescent="0.2">
      <c r="B6" s="8"/>
      <c r="C6" s="8"/>
      <c r="D6" s="8"/>
      <c r="E6" s="8"/>
      <c r="F6" s="8"/>
      <c r="G6" s="9"/>
      <c r="H6" s="9"/>
    </row>
    <row r="7" spans="2:14" ht="23.25" customHeight="1" x14ac:dyDescent="0.2">
      <c r="B7" s="56" t="s">
        <v>79</v>
      </c>
      <c r="C7" s="12"/>
    </row>
    <row r="8" spans="2:14" ht="11.25" customHeight="1" x14ac:dyDescent="0.2">
      <c r="B8" s="61" t="s">
        <v>3</v>
      </c>
      <c r="C8" s="62"/>
      <c r="D8" s="63"/>
      <c r="E8" s="63"/>
      <c r="F8" s="63"/>
    </row>
    <row r="9" spans="2:14" x14ac:dyDescent="0.2">
      <c r="B9" s="61" t="s">
        <v>4</v>
      </c>
      <c r="C9" s="63"/>
      <c r="D9" s="63"/>
      <c r="E9" s="63"/>
      <c r="F9" s="63"/>
    </row>
    <row r="10" spans="2:14" ht="8.25" customHeight="1" x14ac:dyDescent="0.2">
      <c r="B10" s="61"/>
      <c r="C10" s="63"/>
      <c r="D10" s="63"/>
      <c r="E10" s="63"/>
      <c r="F10" s="63"/>
    </row>
    <row r="11" spans="2:14" ht="15" customHeight="1" x14ac:dyDescent="0.2">
      <c r="B11" s="127" t="s">
        <v>89</v>
      </c>
      <c r="C11" s="127"/>
      <c r="D11" s="127"/>
      <c r="E11" s="127"/>
      <c r="F11" s="63"/>
    </row>
    <row r="12" spans="2:14" ht="22.5" customHeight="1" x14ac:dyDescent="0.2">
      <c r="B12" s="64" t="s">
        <v>5</v>
      </c>
      <c r="C12" s="64"/>
      <c r="D12" s="65"/>
      <c r="E12" s="63"/>
      <c r="F12" s="63"/>
    </row>
    <row r="13" spans="2:14" ht="22.5" customHeight="1" x14ac:dyDescent="0.2">
      <c r="B13" s="64" t="str">
        <f>"Kilométrage professionnel en "&amp;F5&amp;" :"</f>
        <v>Kilométrage professionnel en 2025 :</v>
      </c>
      <c r="C13" s="64"/>
      <c r="D13" s="66"/>
      <c r="E13" s="63"/>
      <c r="F13" s="63"/>
    </row>
    <row r="14" spans="2:14" ht="9" customHeight="1" x14ac:dyDescent="0.2"/>
    <row r="15" spans="2:14" ht="7.5" customHeight="1" x14ac:dyDescent="0.2"/>
    <row r="16" spans="2:14" ht="22.5" customHeight="1" x14ac:dyDescent="0.2">
      <c r="B16" s="67" t="str">
        <f>IF(D13=0,"","INDEMNITE KILOMETRIQUE "&amp;F5&amp;" :")</f>
        <v/>
      </c>
      <c r="C16" s="67"/>
      <c r="D16" s="67"/>
      <c r="E16" s="72">
        <f>IF(Calculs!B17=0,0,Calculs!B17)</f>
        <v>0</v>
      </c>
      <c r="F16" s="13"/>
    </row>
    <row r="17" spans="1:6" ht="6" customHeight="1" x14ac:dyDescent="0.2"/>
    <row r="18" spans="1:6" ht="20.25" customHeight="1" x14ac:dyDescent="0.2">
      <c r="B18" s="60" t="str">
        <f>IF(D13=0,"","FORMULE :")</f>
        <v/>
      </c>
      <c r="C18" s="71" t="str">
        <f>IF(D13=0,"",Calculs!I8&amp;"( " &amp; FIXED(D13,0) &amp; " x " &amp; Calculs!D17 &amp;Calculs!J8&amp;"= " &amp; FIXED(E16,0)&amp;" €")</f>
        <v/>
      </c>
      <c r="D18" s="71"/>
      <c r="E18" s="71"/>
      <c r="F18" s="71"/>
    </row>
    <row r="20" spans="1:6" ht="23.25" customHeight="1" x14ac:dyDescent="0.2">
      <c r="B20" s="56" t="s">
        <v>83</v>
      </c>
      <c r="C20" s="14"/>
    </row>
    <row r="21" spans="1:6" ht="10.5" customHeight="1" x14ac:dyDescent="0.2">
      <c r="B21" s="61" t="s">
        <v>6</v>
      </c>
      <c r="C21" s="61"/>
      <c r="D21" s="63"/>
      <c r="E21" s="63"/>
    </row>
    <row r="22" spans="1:6" x14ac:dyDescent="0.2">
      <c r="B22" s="63"/>
      <c r="C22" s="63"/>
      <c r="D22" s="63"/>
      <c r="E22" s="63"/>
      <c r="F22" s="63"/>
    </row>
    <row r="23" spans="1:6" ht="22.5" customHeight="1" x14ac:dyDescent="0.2">
      <c r="B23" s="64" t="s">
        <v>5</v>
      </c>
      <c r="C23" s="64"/>
      <c r="D23" s="65"/>
      <c r="E23" s="63"/>
      <c r="F23" s="63"/>
    </row>
    <row r="24" spans="1:6" ht="22.5" customHeight="1" x14ac:dyDescent="0.2">
      <c r="B24" s="64" t="str">
        <f>"Kilométrage professionnel en "&amp;F5&amp;" :"</f>
        <v>Kilométrage professionnel en 2025 :</v>
      </c>
      <c r="C24" s="64"/>
      <c r="D24" s="66"/>
      <c r="E24" s="63"/>
      <c r="F24" s="63"/>
    </row>
    <row r="25" spans="1:6" ht="6" customHeight="1" x14ac:dyDescent="0.2">
      <c r="B25" s="63"/>
      <c r="C25" s="63"/>
      <c r="D25" s="63"/>
      <c r="E25" s="63"/>
      <c r="F25" s="63"/>
    </row>
    <row r="26" spans="1:6" ht="14.25" customHeight="1" x14ac:dyDescent="0.2">
      <c r="B26" s="68" t="s">
        <v>85</v>
      </c>
      <c r="C26" s="69"/>
      <c r="D26" s="63"/>
      <c r="E26" s="63"/>
      <c r="F26" s="63"/>
    </row>
    <row r="27" spans="1:6" ht="6.75" customHeight="1" x14ac:dyDescent="0.2">
      <c r="B27" s="63"/>
      <c r="C27" s="63"/>
      <c r="D27" s="63"/>
      <c r="E27" s="63"/>
      <c r="F27" s="63"/>
    </row>
    <row r="28" spans="1:6" ht="11.25" customHeight="1" x14ac:dyDescent="0.2"/>
    <row r="29" spans="1:6" ht="22.5" customHeight="1" x14ac:dyDescent="0.2">
      <c r="B29" s="67" t="str">
        <f>IF(D24=0,"","FORFAIT BIC CARBURANT "&amp;F5&amp;" :")</f>
        <v/>
      </c>
      <c r="C29" s="67"/>
      <c r="D29" s="67"/>
      <c r="E29" s="72">
        <f>IF(Calculs!B28=0,0,Calculs!B28)</f>
        <v>0</v>
      </c>
    </row>
    <row r="30" spans="1:6" x14ac:dyDescent="0.2">
      <c r="A30" s="70"/>
      <c r="B30" s="126" t="str">
        <f>IF(D24=0,"","(Annexe OBLIGATOIRE à joindre à la 2035 - cf dernier onglet)")</f>
        <v/>
      </c>
      <c r="C30" s="126"/>
      <c r="D30" s="126"/>
      <c r="E30" s="126"/>
      <c r="F30" s="70"/>
    </row>
    <row r="31" spans="1:6" ht="20.25" customHeight="1" x14ac:dyDescent="0.2">
      <c r="A31" s="70"/>
      <c r="B31" s="60" t="str">
        <f>IF(D24=0,"","FORMULE :")</f>
        <v/>
      </c>
      <c r="C31" s="71" t="str">
        <f>IF(D24=0,"","( " &amp; FIXED(D24,0) &amp; " x " &amp; FIXED(Calculs!D28,3) &amp; " ) = " &amp; FIXED(E29,0)&amp;" €")</f>
        <v/>
      </c>
      <c r="D31" s="71"/>
      <c r="E31" s="71"/>
      <c r="F31" s="71"/>
    </row>
    <row r="32" spans="1:6" x14ac:dyDescent="0.2">
      <c r="A32" s="70"/>
      <c r="B32" s="70"/>
      <c r="C32" s="70"/>
      <c r="D32" s="70"/>
      <c r="E32" s="70"/>
      <c r="F32" s="70"/>
    </row>
  </sheetData>
  <sheetProtection password="CA82" sheet="1" selectLockedCells="1"/>
  <mergeCells count="7">
    <mergeCell ref="H1:N1"/>
    <mergeCell ref="C3:F3"/>
    <mergeCell ref="C4:F4"/>
    <mergeCell ref="C5:D5"/>
    <mergeCell ref="B30:E30"/>
    <mergeCell ref="B11:E11"/>
    <mergeCell ref="B1:F1"/>
  </mergeCells>
  <phoneticPr fontId="12" type="noConversion"/>
  <conditionalFormatting sqref="E16">
    <cfRule type="cellIs" dxfId="4" priority="1" stopIfTrue="1" operator="notEqual">
      <formula>0</formula>
    </cfRule>
  </conditionalFormatting>
  <conditionalFormatting sqref="E29">
    <cfRule type="cellIs" dxfId="3" priority="2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28575</xdr:rowOff>
                  </from>
                  <to>
                    <xdr:col>3</xdr:col>
                    <xdr:colOff>1114425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323850</xdr:colOff>
                    <xdr:row>9</xdr:row>
                    <xdr:rowOff>95250</xdr:rowOff>
                  </from>
                  <to>
                    <xdr:col>3</xdr:col>
                    <xdr:colOff>38100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</sheetPr>
  <dimension ref="B1:J31"/>
  <sheetViews>
    <sheetView showGridLines="0" showRowColHeaders="0" showZeros="0" zoomScaleNormal="100" workbookViewId="0">
      <selection activeCell="C3" sqref="C3:F3"/>
    </sheetView>
  </sheetViews>
  <sheetFormatPr baseColWidth="10" defaultColWidth="11.42578125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7" width="33.42578125" style="10" customWidth="1"/>
    <col min="8" max="8" width="2.85546875" style="10" customWidth="1"/>
    <col min="9" max="9" width="16" style="10" customWidth="1"/>
    <col min="10" max="10" width="18.85546875" style="10" customWidth="1"/>
    <col min="11" max="16384" width="11.42578125" style="10"/>
  </cols>
  <sheetData>
    <row r="1" spans="2:10" ht="42.75" customHeight="1" x14ac:dyDescent="0.2">
      <c r="B1" s="57" t="s">
        <v>38</v>
      </c>
      <c r="C1" s="8"/>
      <c r="D1" s="8"/>
      <c r="E1" s="8"/>
      <c r="F1" s="8"/>
      <c r="G1" s="129"/>
      <c r="H1" s="120"/>
      <c r="I1" s="120"/>
      <c r="J1" s="120"/>
    </row>
    <row r="2" spans="2:10" ht="14.25" customHeight="1" x14ac:dyDescent="0.2">
      <c r="B2" s="8"/>
      <c r="C2" s="8"/>
      <c r="D2" s="8"/>
      <c r="E2" s="8"/>
      <c r="F2" s="8"/>
      <c r="G2" s="9"/>
      <c r="H2" s="9"/>
    </row>
    <row r="3" spans="2:10" ht="16.5" customHeight="1" x14ac:dyDescent="0.2">
      <c r="B3" s="55" t="s">
        <v>0</v>
      </c>
      <c r="C3" s="121">
        <f>'Frais AUTO'!C3:F3</f>
        <v>0</v>
      </c>
      <c r="D3" s="122"/>
      <c r="E3" s="122"/>
      <c r="F3" s="123"/>
      <c r="G3" s="9"/>
      <c r="H3" s="9"/>
    </row>
    <row r="4" spans="2:10" ht="17.25" customHeight="1" x14ac:dyDescent="0.2">
      <c r="B4" s="55" t="s">
        <v>1</v>
      </c>
      <c r="C4" s="121">
        <f>'Frais AUTO'!C4:F4</f>
        <v>0</v>
      </c>
      <c r="D4" s="122"/>
      <c r="E4" s="122"/>
      <c r="F4" s="123"/>
      <c r="G4" s="9"/>
      <c r="H4" s="9"/>
    </row>
    <row r="5" spans="2:10" ht="17.25" customHeight="1" x14ac:dyDescent="0.2">
      <c r="B5" s="55" t="s">
        <v>2</v>
      </c>
      <c r="C5" s="130">
        <f>'Frais AUTO'!C5:D5</f>
        <v>0</v>
      </c>
      <c r="D5" s="131"/>
      <c r="E5" s="114" t="s">
        <v>23</v>
      </c>
      <c r="F5" s="115">
        <f>'Frais AUTO'!F5</f>
        <v>2025</v>
      </c>
      <c r="G5" s="9"/>
      <c r="H5" s="9"/>
    </row>
    <row r="6" spans="2:10" ht="10.5" customHeight="1" x14ac:dyDescent="0.2">
      <c r="B6" s="11"/>
      <c r="C6" s="23"/>
      <c r="D6" s="23"/>
      <c r="E6" s="22"/>
      <c r="F6" s="23"/>
      <c r="G6" s="9"/>
      <c r="H6" s="9"/>
    </row>
    <row r="7" spans="2:10" ht="24.75" customHeight="1" x14ac:dyDescent="0.2">
      <c r="B7" s="62" t="s">
        <v>81</v>
      </c>
      <c r="C7" s="63"/>
      <c r="D7" s="63"/>
      <c r="E7" s="63"/>
      <c r="F7" s="63"/>
      <c r="G7" s="17"/>
      <c r="H7" s="17"/>
      <c r="I7" s="17"/>
      <c r="J7" s="17"/>
    </row>
    <row r="8" spans="2:10" ht="27.75" customHeight="1" x14ac:dyDescent="0.2">
      <c r="B8" s="64" t="s">
        <v>86</v>
      </c>
      <c r="C8" s="64"/>
      <c r="D8" s="73"/>
      <c r="E8" s="63"/>
      <c r="F8" s="63"/>
      <c r="G8" s="18"/>
      <c r="H8" s="18"/>
      <c r="I8" s="19"/>
      <c r="J8" s="17"/>
    </row>
    <row r="9" spans="2:10" ht="15" customHeight="1" x14ac:dyDescent="0.2">
      <c r="B9" s="127" t="s">
        <v>90</v>
      </c>
      <c r="C9" s="127"/>
      <c r="D9" s="127"/>
      <c r="E9" s="63"/>
      <c r="F9" s="63"/>
      <c r="G9"/>
      <c r="H9" s="18"/>
      <c r="I9" s="19"/>
      <c r="J9" s="17"/>
    </row>
    <row r="10" spans="2:10" ht="22.5" customHeight="1" x14ac:dyDescent="0.2">
      <c r="B10" s="64" t="str">
        <f>"Kilométrage professionnel en "&amp;F5&amp;" :"</f>
        <v>Kilométrage professionnel en 2025 :</v>
      </c>
      <c r="C10" s="64"/>
      <c r="D10" s="66"/>
      <c r="E10" s="63"/>
      <c r="F10" s="63"/>
      <c r="G10" s="18"/>
      <c r="H10" s="18"/>
      <c r="I10" s="20"/>
      <c r="J10" s="17"/>
    </row>
    <row r="11" spans="2:10" x14ac:dyDescent="0.2">
      <c r="B11" s="63"/>
      <c r="C11" s="63"/>
      <c r="D11" s="63"/>
      <c r="E11" s="63"/>
      <c r="F11" s="63"/>
      <c r="G11" s="17"/>
      <c r="H11" s="17"/>
      <c r="I11" s="17"/>
      <c r="J11" s="17"/>
    </row>
    <row r="12" spans="2:10" ht="22.5" customHeight="1" x14ac:dyDescent="0.2">
      <c r="B12" s="67" t="str">
        <f>IF(D10=0,"","INDEMNITE KILOMETRIQUE "&amp;F5&amp;" :")</f>
        <v/>
      </c>
      <c r="C12" s="67"/>
      <c r="D12" s="67"/>
      <c r="E12" s="72">
        <f>IF(Calculs!B37=0,0,Calculs!B37)</f>
        <v>0</v>
      </c>
      <c r="F12" s="74"/>
      <c r="G12" s="21"/>
      <c r="H12" s="21"/>
      <c r="I12" s="21"/>
      <c r="J12" s="15" t="str">
        <f>IF(Calculs!G17=0,"",Calculs!G17 &amp; " €")</f>
        <v/>
      </c>
    </row>
    <row r="13" spans="2:10" x14ac:dyDescent="0.2">
      <c r="B13" s="63"/>
      <c r="C13" s="63"/>
      <c r="D13" s="63"/>
      <c r="E13" s="63"/>
      <c r="F13" s="63"/>
    </row>
    <row r="14" spans="2:10" ht="20.25" customHeight="1" x14ac:dyDescent="0.2">
      <c r="B14" s="60" t="str">
        <f>IF(D10=0,"","FORMULE :")</f>
        <v/>
      </c>
      <c r="C14" s="71" t="str">
        <f>IF(D10=0,"",Calculs!I38&amp;"( "&amp;FIXED(D10,0)&amp;" x "&amp;Calculs!D37&amp;Calculs!J38&amp;" = "&amp;FIXED(E12,0)&amp;" €")</f>
        <v/>
      </c>
      <c r="D14" s="71"/>
      <c r="E14" s="71"/>
      <c r="F14" s="75"/>
    </row>
    <row r="15" spans="2:10" x14ac:dyDescent="0.2">
      <c r="B15" s="63"/>
      <c r="C15" s="63"/>
      <c r="D15" s="63"/>
      <c r="E15" s="63"/>
      <c r="F15" s="63"/>
    </row>
    <row r="16" spans="2:10" ht="23.25" customHeight="1" x14ac:dyDescent="0.2">
      <c r="B16" s="62" t="s">
        <v>91</v>
      </c>
      <c r="C16" s="62"/>
      <c r="D16" s="63"/>
      <c r="E16" s="63"/>
      <c r="F16" s="63"/>
    </row>
    <row r="17" spans="2:6" ht="10.5" customHeight="1" x14ac:dyDescent="0.2">
      <c r="B17" s="61" t="s">
        <v>7</v>
      </c>
      <c r="C17" s="61"/>
      <c r="D17" s="63"/>
      <c r="E17" s="63"/>
      <c r="F17" s="63"/>
    </row>
    <row r="18" spans="2:6" ht="3.75" customHeight="1" x14ac:dyDescent="0.2">
      <c r="B18" s="61"/>
      <c r="C18" s="61"/>
      <c r="D18" s="63"/>
      <c r="E18" s="63"/>
      <c r="F18" s="63"/>
    </row>
    <row r="19" spans="2:6" x14ac:dyDescent="0.2">
      <c r="B19" s="63"/>
      <c r="C19" s="63"/>
      <c r="D19" s="63"/>
      <c r="E19" s="63"/>
      <c r="F19" s="63"/>
    </row>
    <row r="20" spans="2:6" ht="22.5" customHeight="1" x14ac:dyDescent="0.2">
      <c r="B20" s="64" t="s">
        <v>86</v>
      </c>
      <c r="C20" s="64"/>
      <c r="D20" s="65"/>
      <c r="E20" s="63"/>
      <c r="F20" s="63"/>
    </row>
    <row r="21" spans="2:6" ht="22.5" customHeight="1" x14ac:dyDescent="0.2">
      <c r="B21" s="64" t="str">
        <f>"Kilométrage professionnel en "&amp;F5&amp;" :"</f>
        <v>Kilométrage professionnel en 2025 :</v>
      </c>
      <c r="C21" s="64"/>
      <c r="D21" s="66"/>
      <c r="E21" s="63"/>
      <c r="F21" s="63"/>
    </row>
    <row r="22" spans="2:6" x14ac:dyDescent="0.2">
      <c r="B22" s="63"/>
      <c r="C22" s="63"/>
      <c r="D22" s="63"/>
      <c r="E22" s="63"/>
      <c r="F22" s="63"/>
    </row>
    <row r="23" spans="2:6" x14ac:dyDescent="0.2">
      <c r="B23" s="63"/>
      <c r="C23" s="63"/>
      <c r="D23" s="63"/>
      <c r="E23" s="63"/>
      <c r="F23" s="63"/>
    </row>
    <row r="24" spans="2:6" ht="22.5" customHeight="1" x14ac:dyDescent="0.2">
      <c r="B24" s="67" t="str">
        <f>IF(D21=0,"","FORFAIT BIC CARBURANT "&amp;F5&amp;" :")</f>
        <v/>
      </c>
      <c r="C24" s="67"/>
      <c r="D24" s="67"/>
      <c r="E24" s="72">
        <f>IF(Calculs!B46=0,0,Calculs!B46)</f>
        <v>0</v>
      </c>
      <c r="F24" s="63"/>
    </row>
    <row r="25" spans="2:6" x14ac:dyDescent="0.2">
      <c r="B25" s="126" t="str">
        <f>IF(D21=0,"","(Annexe OBLIGATOIRE à joindre à la 2035 - cf dernier onglet)")</f>
        <v/>
      </c>
      <c r="C25" s="126"/>
      <c r="D25" s="126"/>
      <c r="E25" s="126"/>
      <c r="F25" s="63"/>
    </row>
    <row r="26" spans="2:6" ht="24" customHeight="1" x14ac:dyDescent="0.2">
      <c r="B26" s="60" t="str">
        <f>IF(D21=0,"","FORMULE :")</f>
        <v/>
      </c>
      <c r="C26" s="71" t="str">
        <f>IF(D21=0,"","( " &amp; FIXED(D21,0) &amp; " x " &amp; Calculs!D46 &amp; " = " &amp; FIXED(E24,0)&amp;" €")</f>
        <v/>
      </c>
      <c r="D26" s="71"/>
      <c r="E26" s="71"/>
      <c r="F26" s="75"/>
    </row>
    <row r="27" spans="2:6" x14ac:dyDescent="0.2">
      <c r="B27" s="63"/>
      <c r="C27" s="63"/>
      <c r="D27" s="63"/>
      <c r="E27" s="63"/>
      <c r="F27" s="63"/>
    </row>
    <row r="28" spans="2:6" x14ac:dyDescent="0.2">
      <c r="B28" s="63"/>
      <c r="C28" s="63"/>
      <c r="D28" s="63"/>
      <c r="E28" s="63"/>
      <c r="F28" s="63"/>
    </row>
    <row r="29" spans="2:6" x14ac:dyDescent="0.2">
      <c r="B29" s="63"/>
      <c r="C29" s="63"/>
      <c r="D29" s="63"/>
      <c r="E29" s="63"/>
      <c r="F29" s="63"/>
    </row>
    <row r="30" spans="2:6" x14ac:dyDescent="0.2">
      <c r="B30" s="63"/>
      <c r="C30" s="63"/>
      <c r="D30" s="63"/>
      <c r="E30" s="63"/>
      <c r="F30" s="63"/>
    </row>
    <row r="31" spans="2:6" x14ac:dyDescent="0.2">
      <c r="B31" s="63"/>
      <c r="C31" s="63"/>
      <c r="D31" s="63"/>
      <c r="E31" s="63"/>
      <c r="F31" s="63"/>
    </row>
  </sheetData>
  <sheetProtection password="CA82" sheet="1" selectLockedCells="1"/>
  <mergeCells count="6">
    <mergeCell ref="B25:E25"/>
    <mergeCell ref="G1:J1"/>
    <mergeCell ref="C3:F3"/>
    <mergeCell ref="C4:F4"/>
    <mergeCell ref="C5:D5"/>
    <mergeCell ref="B9:D9"/>
  </mergeCells>
  <phoneticPr fontId="12" type="noConversion"/>
  <conditionalFormatting sqref="E12 E24">
    <cfRule type="cellIs" dxfId="2" priority="1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66675</xdr:rowOff>
                  </from>
                  <to>
                    <xdr:col>4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9525</xdr:rowOff>
                  </from>
                  <to>
                    <xdr:col>4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3</xdr:col>
                    <xdr:colOff>47625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FDD"/>
  </sheetPr>
  <dimension ref="A1:O108"/>
  <sheetViews>
    <sheetView showGridLines="0" showRowColHeaders="0" showZeros="0" workbookViewId="0">
      <selection activeCell="C4" sqref="C4:H4"/>
    </sheetView>
  </sheetViews>
  <sheetFormatPr baseColWidth="10" defaultColWidth="11.42578125" defaultRowHeight="12.75" x14ac:dyDescent="0.2"/>
  <cols>
    <col min="1" max="1" width="5.140625" style="10" customWidth="1"/>
    <col min="2" max="2" width="1" style="10" customWidth="1"/>
    <col min="3" max="3" width="19.140625" style="10" customWidth="1"/>
    <col min="4" max="4" width="15.140625" style="10" customWidth="1"/>
    <col min="5" max="5" width="18.85546875" style="10" customWidth="1"/>
    <col min="6" max="6" width="16" style="10" customWidth="1"/>
    <col min="7" max="7" width="17.28515625" style="10" customWidth="1"/>
    <col min="8" max="8" width="1" style="10" customWidth="1"/>
    <col min="9" max="9" width="1.140625" style="10" customWidth="1"/>
    <col min="10" max="16384" width="11.42578125" style="10"/>
  </cols>
  <sheetData>
    <row r="1" spans="1:15" ht="50.25" customHeight="1" x14ac:dyDescent="0.35">
      <c r="A1" s="28"/>
      <c r="B1" s="28"/>
      <c r="C1" s="28"/>
      <c r="D1" s="132" t="s">
        <v>78</v>
      </c>
      <c r="E1" s="132"/>
      <c r="F1" s="132"/>
      <c r="G1" s="132"/>
      <c r="H1" s="132"/>
      <c r="K1" s="148"/>
      <c r="L1" s="149"/>
      <c r="M1" s="149"/>
      <c r="N1" s="149"/>
      <c r="O1" s="149"/>
    </row>
    <row r="2" spans="1:15" ht="6.75" customHeight="1" x14ac:dyDescent="0.2"/>
    <row r="3" spans="1:15" ht="7.5" customHeight="1" x14ac:dyDescent="0.2"/>
    <row r="4" spans="1:15" ht="16.5" customHeight="1" x14ac:dyDescent="0.2">
      <c r="C4" s="142" t="s">
        <v>80</v>
      </c>
      <c r="D4" s="143"/>
      <c r="E4" s="143"/>
      <c r="F4" s="143"/>
      <c r="G4" s="143"/>
      <c r="H4" s="144"/>
    </row>
    <row r="5" spans="1:15" ht="12.75" customHeight="1" x14ac:dyDescent="0.2">
      <c r="C5" s="29"/>
      <c r="D5" s="29"/>
      <c r="E5" s="29"/>
      <c r="F5" s="29"/>
      <c r="G5" s="29"/>
      <c r="H5" s="29"/>
    </row>
    <row r="6" spans="1:15" ht="19.5" customHeight="1" x14ac:dyDescent="0.2">
      <c r="C6" s="58" t="s">
        <v>63</v>
      </c>
      <c r="D6" s="136"/>
      <c r="E6" s="137"/>
      <c r="F6" s="137"/>
      <c r="G6" s="138"/>
      <c r="H6" s="29"/>
    </row>
    <row r="7" spans="1:15" ht="19.5" customHeight="1" x14ac:dyDescent="0.2">
      <c r="C7" s="58" t="s">
        <v>1</v>
      </c>
      <c r="D7" s="136"/>
      <c r="E7" s="137"/>
      <c r="F7" s="137"/>
      <c r="G7" s="138"/>
      <c r="H7" s="29"/>
    </row>
    <row r="8" spans="1:15" ht="19.5" customHeight="1" x14ac:dyDescent="0.2">
      <c r="C8" s="58" t="s">
        <v>2</v>
      </c>
      <c r="D8" s="139"/>
      <c r="E8" s="140"/>
      <c r="F8" s="114" t="s">
        <v>23</v>
      </c>
      <c r="G8" s="116">
        <f>'Frais AUTO'!F5</f>
        <v>2025</v>
      </c>
      <c r="H8" s="29"/>
    </row>
    <row r="10" spans="1:15" ht="6" customHeight="1" x14ac:dyDescent="0.2">
      <c r="B10" s="30"/>
      <c r="C10" s="31"/>
      <c r="D10" s="31"/>
      <c r="E10" s="31"/>
      <c r="F10" s="31"/>
      <c r="G10" s="31"/>
      <c r="H10" s="32"/>
    </row>
    <row r="11" spans="1:15" x14ac:dyDescent="0.2">
      <c r="B11" s="33"/>
      <c r="C11" s="82" t="s">
        <v>61</v>
      </c>
      <c r="D11" s="141" t="s">
        <v>57</v>
      </c>
      <c r="E11" s="141"/>
      <c r="F11" s="141"/>
      <c r="G11" s="141"/>
      <c r="H11" s="34"/>
    </row>
    <row r="12" spans="1:15" ht="5.25" customHeight="1" x14ac:dyDescent="0.2">
      <c r="B12" s="33"/>
      <c r="C12" s="83"/>
      <c r="D12" s="84"/>
      <c r="E12" s="84"/>
      <c r="F12" s="84"/>
      <c r="G12" s="84"/>
      <c r="H12" s="36"/>
    </row>
    <row r="13" spans="1:15" ht="15" customHeight="1" x14ac:dyDescent="0.2">
      <c r="B13" s="33"/>
      <c r="C13" s="83" t="s">
        <v>59</v>
      </c>
      <c r="D13" s="83"/>
      <c r="E13" s="83"/>
      <c r="F13" s="147" t="str">
        <f>'Calculs stes'!G29</f>
        <v/>
      </c>
      <c r="G13" s="147"/>
      <c r="H13" s="37"/>
    </row>
    <row r="14" spans="1:15" ht="15.75" customHeight="1" x14ac:dyDescent="0.2">
      <c r="B14" s="33"/>
      <c r="C14" s="83" t="s">
        <v>58</v>
      </c>
      <c r="D14" s="83"/>
      <c r="E14" s="83"/>
      <c r="F14" s="147"/>
      <c r="G14" s="147"/>
      <c r="H14" s="37"/>
    </row>
    <row r="15" spans="1:15" ht="15.75" customHeight="1" x14ac:dyDescent="0.2">
      <c r="B15" s="33"/>
      <c r="C15" s="83" t="s">
        <v>89</v>
      </c>
      <c r="D15" s="83"/>
      <c r="E15" s="83"/>
      <c r="F15" s="89"/>
      <c r="G15" s="89"/>
      <c r="H15" s="37"/>
    </row>
    <row r="16" spans="1:15" ht="6.75" customHeight="1" x14ac:dyDescent="0.2">
      <c r="B16" s="33"/>
      <c r="C16" s="83"/>
      <c r="D16" s="83"/>
      <c r="E16" s="83"/>
      <c r="F16" s="83"/>
      <c r="G16" s="83"/>
      <c r="H16" s="38"/>
    </row>
    <row r="17" spans="2:12" ht="18" customHeight="1" x14ac:dyDescent="0.2">
      <c r="B17" s="33"/>
      <c r="C17" s="85" t="str">
        <f>"Km 'Clientèle SCP' en "&amp;G8&amp;" :"</f>
        <v>Km 'Clientèle SCP' en 2025 :</v>
      </c>
      <c r="D17" s="83"/>
      <c r="E17" s="86"/>
      <c r="F17" s="133" t="str">
        <f>IF(E17+E18=0,"","Kilométrage Global :")</f>
        <v/>
      </c>
      <c r="G17" s="134">
        <f>E17+E18</f>
        <v>0</v>
      </c>
      <c r="H17" s="38"/>
    </row>
    <row r="18" spans="2:12" ht="18" customHeight="1" x14ac:dyDescent="0.2">
      <c r="B18" s="33"/>
      <c r="C18" s="85" t="str">
        <f>"Km 'Domicile - Cabinet' en "&amp;G8&amp;" :"</f>
        <v>Km 'Domicile - Cabinet' en 2025 :</v>
      </c>
      <c r="D18" s="83"/>
      <c r="E18" s="86"/>
      <c r="F18" s="133"/>
      <c r="G18" s="135"/>
      <c r="H18" s="38"/>
    </row>
    <row r="19" spans="2:12" ht="7.5" customHeight="1" x14ac:dyDescent="0.2">
      <c r="B19" s="33"/>
      <c r="C19" s="83"/>
      <c r="D19" s="83"/>
      <c r="E19" s="83"/>
      <c r="F19" s="83"/>
      <c r="G19" s="83"/>
      <c r="H19" s="38"/>
    </row>
    <row r="20" spans="2:12" ht="17.25" customHeight="1" x14ac:dyDescent="0.25">
      <c r="B20" s="33"/>
      <c r="C20" s="145" t="str">
        <f>"INDEMNITE KILOMETRIQUE GLOBALE POUR "&amp;G8&amp;" :"</f>
        <v>INDEMNITE KILOMETRIQUE GLOBALE POUR 2025 :</v>
      </c>
      <c r="D20" s="145"/>
      <c r="E20" s="145"/>
      <c r="F20" s="146">
        <f>'Calculs stes'!B$29</f>
        <v>0</v>
      </c>
      <c r="G20" s="146"/>
      <c r="H20" s="38"/>
    </row>
    <row r="21" spans="2:12" ht="15" customHeight="1" x14ac:dyDescent="0.2">
      <c r="B21" s="33"/>
      <c r="C21" s="76" t="str">
        <f>IF(F20=0,"","FORMULE :")</f>
        <v/>
      </c>
      <c r="D21" s="77" t="str">
        <f>IF(F20=0,"",IF(F20="N/C","",'Calculs stes'!C31&amp;"( " &amp; FIXED(G17,0) &amp; " x " &amp; 'Calculs stes'!D29 &amp;'Calculs stes'!D31&amp; " = " &amp; FIXED(F20,0)&amp;" €"))</f>
        <v/>
      </c>
      <c r="E21" s="77"/>
      <c r="F21" s="77"/>
      <c r="G21" s="78"/>
      <c r="H21" s="38"/>
      <c r="L21" s="39"/>
    </row>
    <row r="22" spans="2:12" x14ac:dyDescent="0.2">
      <c r="B22" s="33"/>
      <c r="C22" s="35"/>
      <c r="D22" s="35"/>
      <c r="E22" s="35"/>
      <c r="F22" s="35"/>
      <c r="G22" s="35"/>
      <c r="H22" s="38"/>
    </row>
    <row r="23" spans="2:12" ht="15.75" x14ac:dyDescent="0.25">
      <c r="B23" s="33"/>
      <c r="C23" s="87" t="str">
        <f>IF(F23=0,"",IF(F20=0,"",IF(F20&lt;&gt;"N/C","IK à imputer sur les résultats de la Société :","")))</f>
        <v/>
      </c>
      <c r="D23" s="83"/>
      <c r="E23" s="83"/>
      <c r="F23" s="79">
        <f>IF(F20&lt;&gt;0,IF(F20&lt;&gt;"N/C",(F20/G17)*E17,0),0)</f>
        <v>0</v>
      </c>
      <c r="G23" s="35"/>
      <c r="H23" s="38"/>
    </row>
    <row r="24" spans="2:12" s="41" customFormat="1" ht="12" x14ac:dyDescent="0.2">
      <c r="B24" s="42"/>
      <c r="C24" s="80" t="str">
        <f>IF(F23=0,"",IF(F20=0,"",IF(F20="N/C","","Soit : "&amp;FIXED(F20,0)&amp;" € / "&amp;FIXED(G17,0)&amp;" km totaux x "&amp;FIXED(E17,0)&amp;" km 'société' = "&amp;FIXED(F23,0)&amp;" €")))</f>
        <v/>
      </c>
      <c r="D24" s="81"/>
      <c r="E24" s="81"/>
      <c r="F24" s="43"/>
      <c r="G24" s="43"/>
      <c r="H24" s="44"/>
    </row>
    <row r="25" spans="2:12" ht="4.5" customHeight="1" x14ac:dyDescent="0.25">
      <c r="B25" s="33"/>
      <c r="C25" s="40"/>
      <c r="D25" s="35"/>
      <c r="E25" s="35"/>
      <c r="F25" s="35"/>
      <c r="G25" s="35"/>
      <c r="H25" s="38"/>
    </row>
    <row r="26" spans="2:12" ht="15.75" x14ac:dyDescent="0.25">
      <c r="B26" s="33"/>
      <c r="C26" s="87" t="str">
        <f>IF(G26=0,"",IF(AND(F20&lt;&gt;0,F20&lt;&gt;"N/C"),"IK à imputer sur la quote-part de résultat de l'Associé(e) :",""))</f>
        <v/>
      </c>
      <c r="D26" s="83"/>
      <c r="E26" s="83"/>
      <c r="F26" s="83"/>
      <c r="G26" s="79">
        <f>IF(F20&lt;&gt;0,IF(F20&lt;&gt;"N/C",(F20/G17)*E18,0),0)</f>
        <v>0</v>
      </c>
      <c r="H26" s="38"/>
    </row>
    <row r="27" spans="2:12" s="41" customFormat="1" ht="12" x14ac:dyDescent="0.2">
      <c r="B27" s="42"/>
      <c r="C27" s="80" t="str">
        <f>IF(G26=0,"",IF(F20=0,"",IF(F20="N/C","","Soit : "&amp;FIXED(F20,0)&amp;" € / "&amp;FIXED(G17,0)&amp;" km totaux x "&amp;FIXED(E18,0)&amp;" km 'associé(e)' = "&amp;FIXED(G26,0)&amp;" €")))</f>
        <v/>
      </c>
      <c r="D27" s="81"/>
      <c r="E27" s="81"/>
      <c r="F27" s="43"/>
      <c r="G27" s="43"/>
      <c r="H27" s="44"/>
    </row>
    <row r="28" spans="2:12" ht="4.5" customHeight="1" x14ac:dyDescent="0.2">
      <c r="B28" s="45"/>
      <c r="C28" s="46"/>
      <c r="D28" s="46"/>
      <c r="E28" s="46"/>
      <c r="F28" s="46"/>
      <c r="G28" s="46"/>
      <c r="H28" s="47"/>
    </row>
    <row r="30" spans="2:12" ht="6" customHeight="1" x14ac:dyDescent="0.2">
      <c r="B30" s="30"/>
      <c r="C30" s="31"/>
      <c r="D30" s="31"/>
      <c r="E30" s="31"/>
      <c r="F30" s="31"/>
      <c r="G30" s="31"/>
      <c r="H30" s="32"/>
    </row>
    <row r="31" spans="2:12" x14ac:dyDescent="0.2">
      <c r="B31" s="33"/>
      <c r="C31" s="82" t="s">
        <v>64</v>
      </c>
      <c r="D31" s="141" t="s">
        <v>57</v>
      </c>
      <c r="E31" s="141"/>
      <c r="F31" s="141"/>
      <c r="G31" s="141"/>
      <c r="H31" s="34"/>
    </row>
    <row r="32" spans="2:12" ht="5.25" customHeight="1" x14ac:dyDescent="0.2">
      <c r="B32" s="33"/>
      <c r="C32" s="83"/>
      <c r="D32" s="84"/>
      <c r="E32" s="84"/>
      <c r="F32" s="84"/>
      <c r="G32" s="84"/>
      <c r="H32" s="36"/>
    </row>
    <row r="33" spans="2:12" ht="15" customHeight="1" x14ac:dyDescent="0.2">
      <c r="B33" s="33"/>
      <c r="C33" s="83" t="s">
        <v>59</v>
      </c>
      <c r="D33" s="83"/>
      <c r="E33" s="83"/>
      <c r="F33" s="147" t="str">
        <f>'Calculs stes'!G60</f>
        <v/>
      </c>
      <c r="G33" s="147"/>
      <c r="H33" s="37"/>
    </row>
    <row r="34" spans="2:12" ht="15.75" customHeight="1" x14ac:dyDescent="0.2">
      <c r="B34" s="33"/>
      <c r="C34" s="83" t="s">
        <v>58</v>
      </c>
      <c r="D34" s="83"/>
      <c r="E34" s="83"/>
      <c r="F34" s="147"/>
      <c r="G34" s="147"/>
      <c r="H34" s="37"/>
    </row>
    <row r="35" spans="2:12" ht="15.75" customHeight="1" x14ac:dyDescent="0.2">
      <c r="B35" s="33"/>
      <c r="C35" s="83" t="s">
        <v>89</v>
      </c>
      <c r="D35" s="83"/>
      <c r="E35" s="83"/>
      <c r="F35" s="89"/>
      <c r="G35" s="89"/>
      <c r="H35" s="37"/>
    </row>
    <row r="36" spans="2:12" ht="6.75" customHeight="1" x14ac:dyDescent="0.2">
      <c r="B36" s="33"/>
      <c r="C36" s="83"/>
      <c r="D36" s="83"/>
      <c r="E36" s="83"/>
      <c r="F36" s="83"/>
      <c r="G36" s="83"/>
      <c r="H36" s="38"/>
    </row>
    <row r="37" spans="2:12" ht="18" customHeight="1" x14ac:dyDescent="0.2">
      <c r="B37" s="33"/>
      <c r="C37" s="85" t="str">
        <f>"Km 'Clientèle SCP' en "&amp;G8&amp;" :"</f>
        <v>Km 'Clientèle SCP' en 2025 :</v>
      </c>
      <c r="D37" s="83"/>
      <c r="E37" s="86"/>
      <c r="F37" s="133" t="str">
        <f>IF(E37+E38=0,"","Kilométrage Global :")</f>
        <v/>
      </c>
      <c r="G37" s="134">
        <f>E37+E38</f>
        <v>0</v>
      </c>
      <c r="H37" s="38"/>
    </row>
    <row r="38" spans="2:12" ht="18" customHeight="1" x14ac:dyDescent="0.2">
      <c r="B38" s="33"/>
      <c r="C38" s="85" t="str">
        <f>"Km 'Domicile - Cabinet' en "&amp;G8&amp;" :"</f>
        <v>Km 'Domicile - Cabinet' en 2025 :</v>
      </c>
      <c r="D38" s="83"/>
      <c r="E38" s="86"/>
      <c r="F38" s="133"/>
      <c r="G38" s="135"/>
      <c r="H38" s="38"/>
    </row>
    <row r="39" spans="2:12" ht="7.5" customHeight="1" x14ac:dyDescent="0.2">
      <c r="B39" s="33"/>
      <c r="C39" s="83"/>
      <c r="D39" s="83"/>
      <c r="E39" s="83"/>
      <c r="F39" s="83"/>
      <c r="G39" s="83"/>
      <c r="H39" s="38"/>
    </row>
    <row r="40" spans="2:12" ht="17.25" customHeight="1" x14ac:dyDescent="0.25">
      <c r="B40" s="33"/>
      <c r="C40" s="145" t="str">
        <f>"INDEMNITE KILOMETRIQUE GLOBALE POUR "&amp;G8&amp;" :"</f>
        <v>INDEMNITE KILOMETRIQUE GLOBALE POUR 2025 :</v>
      </c>
      <c r="D40" s="145"/>
      <c r="E40" s="145"/>
      <c r="F40" s="146">
        <f>'Calculs stes'!B60</f>
        <v>0</v>
      </c>
      <c r="G40" s="146"/>
      <c r="H40" s="38"/>
    </row>
    <row r="41" spans="2:12" ht="15" customHeight="1" x14ac:dyDescent="0.2">
      <c r="B41" s="33"/>
      <c r="C41" s="76" t="str">
        <f>IF(F40=0,"","FORMULE :")</f>
        <v/>
      </c>
      <c r="D41" s="77" t="str">
        <f>IF(F40=0,"",IF(F40="N/C","",'Calculs stes'!C62&amp;"( " &amp; FIXED(G37,0) &amp; " x " &amp; 'Calculs stes'!D60 &amp;'Calculs stes'!D62&amp; " = " &amp; FIXED(F40,0)&amp;" €"))</f>
        <v/>
      </c>
      <c r="E41" s="77"/>
      <c r="F41" s="27"/>
      <c r="G41" s="35"/>
      <c r="H41" s="38"/>
      <c r="L41" s="39"/>
    </row>
    <row r="42" spans="2:12" x14ac:dyDescent="0.2">
      <c r="B42" s="33"/>
      <c r="C42" s="35"/>
      <c r="D42" s="35"/>
      <c r="E42" s="35"/>
      <c r="F42" s="35"/>
      <c r="G42" s="35"/>
      <c r="H42" s="38"/>
    </row>
    <row r="43" spans="2:12" ht="15.75" x14ac:dyDescent="0.25">
      <c r="B43" s="33"/>
      <c r="C43" s="87" t="str">
        <f>IF(F43=0,"",IF(F40=0,"",IF(F40&lt;&gt;"N/C","IK à imputer sur les résultats de la Société :","")))</f>
        <v/>
      </c>
      <c r="D43" s="83"/>
      <c r="E43" s="83"/>
      <c r="F43" s="79">
        <f>IF(F40&lt;&gt;0,IF(F40&lt;&gt;"N/C",(F40/G37)*E37,0),0)</f>
        <v>0</v>
      </c>
      <c r="G43" s="35"/>
      <c r="H43" s="38"/>
    </row>
    <row r="44" spans="2:12" s="41" customFormat="1" ht="12" x14ac:dyDescent="0.2">
      <c r="B44" s="42"/>
      <c r="C44" s="80" t="str">
        <f>IF(F43=0,"",IF(F40=0,"",IF(F40="N/C","","Soit : "&amp;FIXED(F40,0)&amp;" € / "&amp;FIXED(G37,0)&amp;" km totaux x "&amp;FIXED(E37,0)&amp;" km 'société' = "&amp;FIXED(F43,0)&amp;" €")))</f>
        <v/>
      </c>
      <c r="D44" s="81"/>
      <c r="E44" s="81"/>
      <c r="F44" s="43"/>
      <c r="G44" s="43"/>
      <c r="H44" s="44"/>
    </row>
    <row r="45" spans="2:12" ht="4.5" customHeight="1" x14ac:dyDescent="0.25">
      <c r="B45" s="33"/>
      <c r="C45" s="40"/>
      <c r="D45" s="35"/>
      <c r="E45" s="35"/>
      <c r="F45" s="35"/>
      <c r="G45" s="35"/>
      <c r="H45" s="38"/>
    </row>
    <row r="46" spans="2:12" ht="15.75" x14ac:dyDescent="0.25">
      <c r="B46" s="33"/>
      <c r="C46" s="87" t="str">
        <f>IF(G46=0,"",IF(AND(F40&lt;&gt;0,F40&lt;&gt;"N/C"),"IK à imputer sur la quote-part de résultat de l'Associé(e) :",""))</f>
        <v/>
      </c>
      <c r="D46" s="83"/>
      <c r="E46" s="83"/>
      <c r="F46" s="83"/>
      <c r="G46" s="79">
        <f>IF(F40&lt;&gt;0,IF(F40&lt;&gt;"N/C",(F40/G37)*E38,0),0)</f>
        <v>0</v>
      </c>
      <c r="H46" s="38"/>
    </row>
    <row r="47" spans="2:12" s="41" customFormat="1" ht="12" x14ac:dyDescent="0.2">
      <c r="B47" s="42"/>
      <c r="C47" s="80" t="str">
        <f>IF(G46=0,"",IF(F40=0,"",IF(F40="N/C","","Soit : "&amp;FIXED(F40,0)&amp;" € / "&amp;FIXED(G37,0)&amp;" km totaux x "&amp;FIXED(E38,0)&amp;" km 'associé(e)' = "&amp;FIXED(G46,0)&amp;" €")))</f>
        <v/>
      </c>
      <c r="D47" s="81"/>
      <c r="E47" s="81"/>
      <c r="F47" s="43"/>
      <c r="G47" s="43"/>
      <c r="H47" s="44"/>
    </row>
    <row r="48" spans="2:12" ht="4.5" customHeight="1" x14ac:dyDescent="0.2">
      <c r="B48" s="45"/>
      <c r="C48" s="46"/>
      <c r="D48" s="46"/>
      <c r="E48" s="46"/>
      <c r="F48" s="46"/>
      <c r="G48" s="46"/>
      <c r="H48" s="47"/>
    </row>
    <row r="50" spans="2:12" ht="6" customHeight="1" x14ac:dyDescent="0.2">
      <c r="B50" s="30"/>
      <c r="C50" s="31"/>
      <c r="D50" s="31"/>
      <c r="E50" s="31"/>
      <c r="F50" s="31"/>
      <c r="G50" s="31"/>
      <c r="H50" s="32"/>
    </row>
    <row r="51" spans="2:12" x14ac:dyDescent="0.2">
      <c r="B51" s="33"/>
      <c r="C51" s="82" t="s">
        <v>65</v>
      </c>
      <c r="D51" s="141" t="s">
        <v>57</v>
      </c>
      <c r="E51" s="141"/>
      <c r="F51" s="141"/>
      <c r="G51" s="141"/>
      <c r="H51" s="34"/>
    </row>
    <row r="52" spans="2:12" ht="5.25" customHeight="1" x14ac:dyDescent="0.2">
      <c r="B52" s="33"/>
      <c r="C52" s="83"/>
      <c r="D52" s="84"/>
      <c r="E52" s="84"/>
      <c r="F52" s="84"/>
      <c r="G52" s="84"/>
      <c r="H52" s="36"/>
    </row>
    <row r="53" spans="2:12" ht="15" customHeight="1" x14ac:dyDescent="0.2">
      <c r="B53" s="33"/>
      <c r="C53" s="83" t="s">
        <v>59</v>
      </c>
      <c r="D53" s="83"/>
      <c r="E53" s="83"/>
      <c r="F53" s="147" t="str">
        <f>'Calculs stes'!G91</f>
        <v/>
      </c>
      <c r="G53" s="147"/>
      <c r="H53" s="37"/>
    </row>
    <row r="54" spans="2:12" ht="15.75" customHeight="1" x14ac:dyDescent="0.2">
      <c r="B54" s="33"/>
      <c r="C54" s="83" t="s">
        <v>58</v>
      </c>
      <c r="D54" s="83"/>
      <c r="E54" s="83"/>
      <c r="F54" s="147"/>
      <c r="G54" s="147"/>
      <c r="H54" s="37"/>
    </row>
    <row r="55" spans="2:12" ht="15.75" customHeight="1" x14ac:dyDescent="0.2">
      <c r="B55" s="33"/>
      <c r="C55" s="83" t="s">
        <v>89</v>
      </c>
      <c r="D55" s="83"/>
      <c r="E55" s="83"/>
      <c r="F55" s="89"/>
      <c r="G55" s="89"/>
      <c r="H55" s="37"/>
    </row>
    <row r="56" spans="2:12" ht="6.75" customHeight="1" x14ac:dyDescent="0.2">
      <c r="B56" s="33"/>
      <c r="C56" s="83"/>
      <c r="D56" s="83"/>
      <c r="E56" s="83"/>
      <c r="F56" s="83"/>
      <c r="G56" s="83"/>
      <c r="H56" s="38"/>
    </row>
    <row r="57" spans="2:12" ht="18" customHeight="1" x14ac:dyDescent="0.2">
      <c r="B57" s="33"/>
      <c r="C57" s="85" t="str">
        <f>"Km 'Clientèle SCP' en "&amp;G8&amp;" :"</f>
        <v>Km 'Clientèle SCP' en 2025 :</v>
      </c>
      <c r="D57" s="83"/>
      <c r="E57" s="86"/>
      <c r="F57" s="133" t="str">
        <f>IF(E57+E58=0,"","Kilométrage Global :")</f>
        <v/>
      </c>
      <c r="G57" s="134">
        <f>E57+E58</f>
        <v>0</v>
      </c>
      <c r="H57" s="38"/>
    </row>
    <row r="58" spans="2:12" ht="18" customHeight="1" x14ac:dyDescent="0.2">
      <c r="B58" s="33"/>
      <c r="C58" s="85" t="str">
        <f>"Km 'Domicile - Cabinet' en "&amp;G8&amp;" :"</f>
        <v>Km 'Domicile - Cabinet' en 2025 :</v>
      </c>
      <c r="D58" s="83"/>
      <c r="E58" s="86"/>
      <c r="F58" s="133"/>
      <c r="G58" s="135"/>
      <c r="H58" s="38"/>
    </row>
    <row r="59" spans="2:12" ht="7.5" customHeight="1" x14ac:dyDescent="0.2">
      <c r="B59" s="33"/>
      <c r="C59" s="83"/>
      <c r="D59" s="83"/>
      <c r="E59" s="83"/>
      <c r="F59" s="83"/>
      <c r="G59" s="83"/>
      <c r="H59" s="38"/>
    </row>
    <row r="60" spans="2:12" ht="17.25" customHeight="1" x14ac:dyDescent="0.25">
      <c r="B60" s="33"/>
      <c r="C60" s="145" t="str">
        <f>"INDEMNITE KILOMETRIQUE GLOBALE POUR "&amp;G8&amp;" :"</f>
        <v>INDEMNITE KILOMETRIQUE GLOBALE POUR 2025 :</v>
      </c>
      <c r="D60" s="145"/>
      <c r="E60" s="145"/>
      <c r="F60" s="146">
        <f>'Calculs stes'!B91</f>
        <v>0</v>
      </c>
      <c r="G60" s="146"/>
      <c r="H60" s="38"/>
    </row>
    <row r="61" spans="2:12" ht="15" customHeight="1" x14ac:dyDescent="0.2">
      <c r="B61" s="33"/>
      <c r="C61" s="76" t="str">
        <f>IF(F60=0,"","FORMULE :")</f>
        <v/>
      </c>
      <c r="D61" s="77" t="str">
        <f>IF(F60=0,"",IF(F60="N/C","",'Calculs stes'!C93&amp;"( " &amp; FIXED(G57,0) &amp; " x " &amp; 'Calculs stes'!D91 &amp;'Calculs stes'!D93&amp; " = " &amp; FIXED(F60,0)&amp;" €"))</f>
        <v/>
      </c>
      <c r="E61" s="77"/>
      <c r="F61" s="27"/>
      <c r="G61" s="35"/>
      <c r="H61" s="38"/>
      <c r="L61" s="39"/>
    </row>
    <row r="62" spans="2:12" x14ac:dyDescent="0.2">
      <c r="B62" s="33"/>
      <c r="C62" s="35"/>
      <c r="D62" s="35"/>
      <c r="E62" s="35"/>
      <c r="F62" s="35"/>
      <c r="G62" s="35"/>
      <c r="H62" s="38"/>
    </row>
    <row r="63" spans="2:12" ht="15.75" x14ac:dyDescent="0.25">
      <c r="B63" s="33"/>
      <c r="C63" s="87" t="str">
        <f>IF(F63=0,"",IF(F60=0,"",IF(F60&lt;&gt;"N/C","IK à imputer sur les résultats de la Société :","")))</f>
        <v/>
      </c>
      <c r="D63" s="83"/>
      <c r="E63" s="83"/>
      <c r="F63" s="79">
        <f>IF(F60&lt;&gt;0,IF(F60&lt;&gt;"N/C",(F60/G57)*E57,0),0)</f>
        <v>0</v>
      </c>
      <c r="G63" s="35"/>
      <c r="H63" s="38"/>
    </row>
    <row r="64" spans="2:12" s="41" customFormat="1" ht="12" x14ac:dyDescent="0.2">
      <c r="B64" s="42"/>
      <c r="C64" s="80" t="str">
        <f>IF(F63=0,"",IF(F60=0,"",IF(F60="N/C","","Soit : "&amp;FIXED(F60,0)&amp;" € / "&amp;FIXED(G57,0)&amp;" km totaux x "&amp;FIXED(E57,0)&amp;" km 'société' = "&amp;FIXED(F63,0)&amp;" €")))</f>
        <v/>
      </c>
      <c r="D64" s="81"/>
      <c r="E64" s="81"/>
      <c r="F64" s="43"/>
      <c r="G64" s="43"/>
      <c r="H64" s="44"/>
    </row>
    <row r="65" spans="2:8" ht="4.5" customHeight="1" x14ac:dyDescent="0.25">
      <c r="B65" s="33"/>
      <c r="C65" s="40"/>
      <c r="D65" s="35"/>
      <c r="E65" s="35"/>
      <c r="F65" s="35"/>
      <c r="G65" s="35"/>
      <c r="H65" s="38"/>
    </row>
    <row r="66" spans="2:8" ht="15.75" x14ac:dyDescent="0.25">
      <c r="B66" s="33"/>
      <c r="C66" s="87" t="str">
        <f>IF(G66=0,"",IF(AND(F60&lt;&gt;0,F60&lt;&gt;"N/C"),"IK à imputer sur la quote-part de résultat de l'Associé(e) :",""))</f>
        <v/>
      </c>
      <c r="D66" s="83"/>
      <c r="E66" s="83"/>
      <c r="F66" s="83"/>
      <c r="G66" s="79">
        <f>IF(F60&lt;&gt;0,IF(F60&lt;&gt;"N/C",(F60/G57)*E58,0),0)</f>
        <v>0</v>
      </c>
      <c r="H66" s="38"/>
    </row>
    <row r="67" spans="2:8" s="41" customFormat="1" ht="12" x14ac:dyDescent="0.2">
      <c r="B67" s="42"/>
      <c r="C67" s="80" t="str">
        <f>IF(G66=0,"",IF(F60=0,"",IF(F60="N/C","","Soit : "&amp;FIXED(F60,0)&amp;" € / "&amp;FIXED(G57,0)&amp;" km totaux x "&amp;FIXED(E58,0)&amp;" km 'associé(e)' = "&amp;FIXED(G66,0)&amp;" €")))</f>
        <v/>
      </c>
      <c r="D67" s="81"/>
      <c r="E67" s="81"/>
      <c r="F67" s="43"/>
      <c r="G67" s="43"/>
      <c r="H67" s="44"/>
    </row>
    <row r="68" spans="2:8" ht="4.5" customHeight="1" x14ac:dyDescent="0.2">
      <c r="B68" s="45"/>
      <c r="C68" s="46"/>
      <c r="D68" s="46"/>
      <c r="E68" s="46"/>
      <c r="F68" s="46"/>
      <c r="G68" s="46"/>
      <c r="H68" s="47"/>
    </row>
    <row r="70" spans="2:8" ht="6" customHeight="1" x14ac:dyDescent="0.2">
      <c r="B70" s="30"/>
      <c r="C70" s="31"/>
      <c r="D70" s="31"/>
      <c r="E70" s="31"/>
      <c r="F70" s="31"/>
      <c r="G70" s="31"/>
      <c r="H70" s="32"/>
    </row>
    <row r="71" spans="2:8" x14ac:dyDescent="0.2">
      <c r="B71" s="33"/>
      <c r="C71" s="82" t="s">
        <v>66</v>
      </c>
      <c r="D71" s="141" t="s">
        <v>57</v>
      </c>
      <c r="E71" s="141"/>
      <c r="F71" s="141"/>
      <c r="G71" s="141"/>
      <c r="H71" s="34"/>
    </row>
    <row r="72" spans="2:8" ht="5.25" customHeight="1" x14ac:dyDescent="0.2">
      <c r="B72" s="33"/>
      <c r="C72" s="83"/>
      <c r="D72" s="84"/>
      <c r="E72" s="84"/>
      <c r="F72" s="84"/>
      <c r="G72" s="84"/>
      <c r="H72" s="36"/>
    </row>
    <row r="73" spans="2:8" ht="15" customHeight="1" x14ac:dyDescent="0.2">
      <c r="B73" s="33"/>
      <c r="C73" s="83" t="s">
        <v>59</v>
      </c>
      <c r="D73" s="83"/>
      <c r="E73" s="83"/>
      <c r="F73" s="147" t="str">
        <f>'Calculs stes'!G122</f>
        <v/>
      </c>
      <c r="G73" s="147"/>
      <c r="H73" s="37"/>
    </row>
    <row r="74" spans="2:8" ht="15.75" customHeight="1" x14ac:dyDescent="0.2">
      <c r="B74" s="33"/>
      <c r="C74" s="83" t="s">
        <v>58</v>
      </c>
      <c r="D74" s="83"/>
      <c r="E74" s="83"/>
      <c r="F74" s="147"/>
      <c r="G74" s="147"/>
      <c r="H74" s="37"/>
    </row>
    <row r="75" spans="2:8" ht="15.75" customHeight="1" x14ac:dyDescent="0.2">
      <c r="B75" s="33"/>
      <c r="C75" s="83" t="s">
        <v>89</v>
      </c>
      <c r="D75" s="83"/>
      <c r="E75" s="83"/>
      <c r="F75" s="89"/>
      <c r="G75" s="89"/>
      <c r="H75" s="37"/>
    </row>
    <row r="76" spans="2:8" ht="6.75" customHeight="1" x14ac:dyDescent="0.2">
      <c r="B76" s="33"/>
      <c r="C76" s="83"/>
      <c r="D76" s="83"/>
      <c r="E76" s="83"/>
      <c r="F76" s="83"/>
      <c r="G76" s="83"/>
      <c r="H76" s="38"/>
    </row>
    <row r="77" spans="2:8" ht="18" customHeight="1" x14ac:dyDescent="0.2">
      <c r="B77" s="33"/>
      <c r="C77" s="85" t="str">
        <f>"Km 'Clientèle SCP' en "&amp;G8&amp;" :"</f>
        <v>Km 'Clientèle SCP' en 2025 :</v>
      </c>
      <c r="D77" s="83"/>
      <c r="E77" s="86"/>
      <c r="F77" s="133" t="str">
        <f>IF(E77+E78=0,"","Kilométrage Global :")</f>
        <v/>
      </c>
      <c r="G77" s="134">
        <f>E77+E78</f>
        <v>0</v>
      </c>
      <c r="H77" s="38"/>
    </row>
    <row r="78" spans="2:8" ht="18" customHeight="1" x14ac:dyDescent="0.2">
      <c r="B78" s="33"/>
      <c r="C78" s="85" t="str">
        <f>"Km 'Domicile - Cabinet' en "&amp;G8&amp;" :"</f>
        <v>Km 'Domicile - Cabinet' en 2025 :</v>
      </c>
      <c r="D78" s="83"/>
      <c r="E78" s="86"/>
      <c r="F78" s="133"/>
      <c r="G78" s="135"/>
      <c r="H78" s="38"/>
    </row>
    <row r="79" spans="2:8" ht="7.5" customHeight="1" x14ac:dyDescent="0.2">
      <c r="B79" s="33"/>
      <c r="C79" s="83"/>
      <c r="D79" s="83"/>
      <c r="E79" s="83"/>
      <c r="F79" s="83"/>
      <c r="G79" s="83"/>
      <c r="H79" s="38"/>
    </row>
    <row r="80" spans="2:8" ht="17.25" customHeight="1" x14ac:dyDescent="0.25">
      <c r="B80" s="33"/>
      <c r="C80" s="145" t="str">
        <f>"INDEMNITE KILOMETRIQUE GLOBALE POUR "&amp;G8&amp;" :"</f>
        <v>INDEMNITE KILOMETRIQUE GLOBALE POUR 2025 :</v>
      </c>
      <c r="D80" s="145"/>
      <c r="E80" s="145"/>
      <c r="F80" s="146">
        <f>'Calculs stes'!B122</f>
        <v>0</v>
      </c>
      <c r="G80" s="146"/>
      <c r="H80" s="38"/>
    </row>
    <row r="81" spans="2:12" ht="15" customHeight="1" x14ac:dyDescent="0.2">
      <c r="B81" s="33"/>
      <c r="C81" s="76" t="str">
        <f>IF(F80=0,"","FORMULE :")</f>
        <v/>
      </c>
      <c r="D81" s="77" t="str">
        <f>IF(F80=0,"",IF(F80="N/C","",'Calculs stes'!C124&amp;"( " &amp; FIXED(G77,0) &amp; " x " &amp; 'Calculs stes'!D122 &amp;'Calculs stes'!D124&amp; " = " &amp; FIXED(F80,0)&amp;" €"))</f>
        <v/>
      </c>
      <c r="E81" s="77"/>
      <c r="F81" s="27"/>
      <c r="G81" s="35"/>
      <c r="H81" s="38"/>
      <c r="L81" s="39"/>
    </row>
    <row r="82" spans="2:12" x14ac:dyDescent="0.2">
      <c r="B82" s="33"/>
      <c r="C82" s="35"/>
      <c r="D82" s="35"/>
      <c r="E82" s="35"/>
      <c r="F82" s="35"/>
      <c r="G82" s="35"/>
      <c r="H82" s="38"/>
    </row>
    <row r="83" spans="2:12" ht="15.75" x14ac:dyDescent="0.25">
      <c r="B83" s="33"/>
      <c r="C83" s="87" t="str">
        <f>IF(F83=0,"",IF(F80=0,"",IF(F80&lt;&gt;"N/C","IK à imputer sur les résultats de la Société :","")))</f>
        <v/>
      </c>
      <c r="D83" s="83"/>
      <c r="E83" s="83"/>
      <c r="F83" s="79">
        <f>IF(F80&lt;&gt;0,IF(F80&lt;&gt;"N/C",(F80/G77)*E77,0),0)</f>
        <v>0</v>
      </c>
      <c r="G83" s="35"/>
      <c r="H83" s="38"/>
    </row>
    <row r="84" spans="2:12" s="41" customFormat="1" ht="12" x14ac:dyDescent="0.2">
      <c r="B84" s="42"/>
      <c r="C84" s="80" t="str">
        <f>IF(F83=0,"",IF(F80=0,"",IF(F80="N/C","","Soit : "&amp;FIXED(F80,0)&amp;" € / "&amp;FIXED(G77,0)&amp;" km totaux x "&amp;FIXED(E77,0)&amp;" km 'société' = "&amp;FIXED(F83,0)&amp;" €")))</f>
        <v/>
      </c>
      <c r="D84" s="81"/>
      <c r="E84" s="81"/>
      <c r="F84" s="43"/>
      <c r="G84" s="43"/>
      <c r="H84" s="44"/>
    </row>
    <row r="85" spans="2:12" ht="4.5" customHeight="1" x14ac:dyDescent="0.25">
      <c r="B85" s="33"/>
      <c r="C85" s="40"/>
      <c r="D85" s="35"/>
      <c r="E85" s="35"/>
      <c r="F85" s="35"/>
      <c r="G85" s="35"/>
      <c r="H85" s="38"/>
    </row>
    <row r="86" spans="2:12" ht="15.75" x14ac:dyDescent="0.25">
      <c r="B86" s="33"/>
      <c r="C86" s="87" t="str">
        <f>IF(G86=0,"",IF(AND(F80&lt;&gt;0,F80&lt;&gt;"N/C"),"IK à imputer sur la quote-part de résultat de l'Associé(e) :",""))</f>
        <v/>
      </c>
      <c r="D86" s="83"/>
      <c r="E86" s="83"/>
      <c r="F86" s="83"/>
      <c r="G86" s="79">
        <f>IF(F80&lt;&gt;0,IF(F80&lt;&gt;"N/C",(F80/G77)*E78,0),0)</f>
        <v>0</v>
      </c>
      <c r="H86" s="38"/>
    </row>
    <row r="87" spans="2:12" s="41" customFormat="1" ht="12" x14ac:dyDescent="0.2">
      <c r="B87" s="42"/>
      <c r="C87" s="80" t="str">
        <f>IF(G86=0,"",IF(F80=0,"",IF(F80="N/C","","Soit : "&amp;FIXED(F80,0)&amp;" € / "&amp;FIXED(G77,0)&amp;" km totaux x "&amp;FIXED(E78,0)&amp;" km 'associé(e)' = "&amp;FIXED(G86,0)&amp;" €")))</f>
        <v/>
      </c>
      <c r="D87" s="81"/>
      <c r="E87" s="81"/>
      <c r="F87" s="43"/>
      <c r="G87" s="43"/>
      <c r="H87" s="44"/>
    </row>
    <row r="88" spans="2:12" ht="4.5" customHeight="1" x14ac:dyDescent="0.2">
      <c r="B88" s="45"/>
      <c r="C88" s="46"/>
      <c r="D88" s="46"/>
      <c r="E88" s="46"/>
      <c r="F88" s="46"/>
      <c r="G88" s="46"/>
      <c r="H88" s="47"/>
    </row>
    <row r="90" spans="2:12" ht="6" customHeight="1" x14ac:dyDescent="0.2">
      <c r="B90" s="30"/>
      <c r="C90" s="31"/>
      <c r="D90" s="31"/>
      <c r="E90" s="31"/>
      <c r="F90" s="31"/>
      <c r="G90" s="31"/>
      <c r="H90" s="32"/>
    </row>
    <row r="91" spans="2:12" x14ac:dyDescent="0.2">
      <c r="B91" s="33"/>
      <c r="C91" s="82" t="s">
        <v>67</v>
      </c>
      <c r="D91" s="141" t="s">
        <v>57</v>
      </c>
      <c r="E91" s="141"/>
      <c r="F91" s="141"/>
      <c r="G91" s="141"/>
      <c r="H91" s="34"/>
    </row>
    <row r="92" spans="2:12" ht="5.25" customHeight="1" x14ac:dyDescent="0.2">
      <c r="B92" s="33"/>
      <c r="C92" s="83"/>
      <c r="D92" s="84"/>
      <c r="E92" s="84"/>
      <c r="F92" s="84"/>
      <c r="G92" s="84"/>
      <c r="H92" s="36"/>
    </row>
    <row r="93" spans="2:12" ht="15" customHeight="1" x14ac:dyDescent="0.2">
      <c r="B93" s="33"/>
      <c r="C93" s="83" t="s">
        <v>59</v>
      </c>
      <c r="D93" s="83"/>
      <c r="E93" s="83"/>
      <c r="F93" s="147" t="str">
        <f>'Calculs stes'!G153</f>
        <v/>
      </c>
      <c r="G93" s="147"/>
      <c r="H93" s="37"/>
    </row>
    <row r="94" spans="2:12" ht="15.75" customHeight="1" x14ac:dyDescent="0.2">
      <c r="B94" s="33"/>
      <c r="C94" s="83" t="s">
        <v>58</v>
      </c>
      <c r="D94" s="83"/>
      <c r="E94" s="83"/>
      <c r="F94" s="147"/>
      <c r="G94" s="147"/>
      <c r="H94" s="37"/>
    </row>
    <row r="95" spans="2:12" ht="15.75" customHeight="1" x14ac:dyDescent="0.2">
      <c r="B95" s="33"/>
      <c r="C95" s="83" t="s">
        <v>89</v>
      </c>
      <c r="D95" s="83"/>
      <c r="E95" s="83"/>
      <c r="F95" s="89"/>
      <c r="G95" s="89"/>
      <c r="H95" s="37"/>
    </row>
    <row r="96" spans="2:12" ht="6.75" customHeight="1" x14ac:dyDescent="0.2">
      <c r="B96" s="33"/>
      <c r="C96" s="83"/>
      <c r="D96" s="83"/>
      <c r="E96" s="83"/>
      <c r="F96" s="83"/>
      <c r="G96" s="83"/>
      <c r="H96" s="38"/>
    </row>
    <row r="97" spans="2:12" ht="18" customHeight="1" x14ac:dyDescent="0.2">
      <c r="B97" s="33"/>
      <c r="C97" s="85" t="str">
        <f>"Km 'Clientèle SCP' en "&amp;G8&amp;" :"</f>
        <v>Km 'Clientèle SCP' en 2025 :</v>
      </c>
      <c r="D97" s="83"/>
      <c r="E97" s="86"/>
      <c r="F97" s="133" t="str">
        <f>IF(E97+E98=0,"","Kilométrage Global :")</f>
        <v/>
      </c>
      <c r="G97" s="134">
        <f>E97+E98</f>
        <v>0</v>
      </c>
      <c r="H97" s="38"/>
    </row>
    <row r="98" spans="2:12" ht="18" customHeight="1" x14ac:dyDescent="0.2">
      <c r="B98" s="33"/>
      <c r="C98" s="85" t="str">
        <f>"Km 'Domicile - Cabinet' en "&amp;G8&amp;" :"</f>
        <v>Km 'Domicile - Cabinet' en 2025 :</v>
      </c>
      <c r="D98" s="83"/>
      <c r="E98" s="86"/>
      <c r="F98" s="133"/>
      <c r="G98" s="135"/>
      <c r="H98" s="38"/>
    </row>
    <row r="99" spans="2:12" ht="7.5" customHeight="1" x14ac:dyDescent="0.2">
      <c r="B99" s="33"/>
      <c r="C99" s="83"/>
      <c r="D99" s="83"/>
      <c r="E99" s="83"/>
      <c r="F99" s="83"/>
      <c r="G99" s="83"/>
      <c r="H99" s="38"/>
    </row>
    <row r="100" spans="2:12" ht="17.25" customHeight="1" x14ac:dyDescent="0.25">
      <c r="B100" s="33"/>
      <c r="C100" s="145" t="str">
        <f>"INDEMNITE KILOMETRIQUE GLOBALE POUR "&amp;G8&amp;" :"</f>
        <v>INDEMNITE KILOMETRIQUE GLOBALE POUR 2025 :</v>
      </c>
      <c r="D100" s="145"/>
      <c r="E100" s="145"/>
      <c r="F100" s="146">
        <f>'Calculs stes'!B153</f>
        <v>0</v>
      </c>
      <c r="G100" s="146"/>
      <c r="H100" s="38"/>
    </row>
    <row r="101" spans="2:12" ht="15" customHeight="1" x14ac:dyDescent="0.2">
      <c r="B101" s="33"/>
      <c r="C101" s="76" t="str">
        <f>IF(F100=0,"","FORMULE :")</f>
        <v/>
      </c>
      <c r="D101" s="77" t="str">
        <f>IF(F100=0,"",IF(F100="N/C","",'Calculs stes'!C155&amp;"( " &amp; FIXED(G97,0) &amp; " x " &amp; 'Calculs stes'!D153 &amp;'Calculs stes'!D155&amp; " = " &amp; FIXED(F100,0)&amp;" €"))</f>
        <v/>
      </c>
      <c r="E101" s="77"/>
      <c r="F101" s="27"/>
      <c r="G101" s="35"/>
      <c r="H101" s="38"/>
      <c r="L101" s="39"/>
    </row>
    <row r="102" spans="2:12" x14ac:dyDescent="0.2">
      <c r="B102" s="33"/>
      <c r="C102" s="35"/>
      <c r="D102" s="35"/>
      <c r="E102" s="35"/>
      <c r="F102" s="35"/>
      <c r="G102" s="35"/>
      <c r="H102" s="38"/>
    </row>
    <row r="103" spans="2:12" ht="15.75" x14ac:dyDescent="0.25">
      <c r="B103" s="33"/>
      <c r="C103" s="87" t="str">
        <f>IF(F103=0,"",IF(F100=0,"",IF(F100&lt;&gt;"N/C","IK à imputer sur les résultats de la Société :","")))</f>
        <v/>
      </c>
      <c r="D103" s="83"/>
      <c r="E103" s="83"/>
      <c r="F103" s="79">
        <f>IF(F100&lt;&gt;0,IF(F100&lt;&gt;"N/C",(F100/G97)*E97,0),0)</f>
        <v>0</v>
      </c>
      <c r="G103" s="35"/>
      <c r="H103" s="38"/>
    </row>
    <row r="104" spans="2:12" s="41" customFormat="1" ht="12" x14ac:dyDescent="0.2">
      <c r="B104" s="42"/>
      <c r="C104" s="80" t="str">
        <f>IF(F103=0,"",IF(F100=0,"",IF(F100="N/C","","Soit : "&amp;FIXED(F100,0)&amp;" € / "&amp;FIXED(G97,0)&amp;" km totaux x "&amp;FIXED(E97,0)&amp;" km 'société' = "&amp;FIXED(F103,0)&amp;" €")))</f>
        <v/>
      </c>
      <c r="D104" s="81"/>
      <c r="E104" s="81"/>
      <c r="F104" s="43"/>
      <c r="G104" s="43"/>
      <c r="H104" s="44"/>
    </row>
    <row r="105" spans="2:12" ht="4.5" customHeight="1" x14ac:dyDescent="0.25">
      <c r="B105" s="33"/>
      <c r="C105" s="40"/>
      <c r="D105" s="35"/>
      <c r="E105" s="35"/>
      <c r="F105" s="35"/>
      <c r="G105" s="35"/>
      <c r="H105" s="38"/>
    </row>
    <row r="106" spans="2:12" ht="15.75" x14ac:dyDescent="0.25">
      <c r="B106" s="33"/>
      <c r="C106" s="87" t="str">
        <f>IF(G106=0,"",IF(AND(F100&lt;&gt;0,F100&lt;&gt;"N/C"),"IK à imputer sur la quote-part de résultat de l'Associé(e) :",""))</f>
        <v/>
      </c>
      <c r="D106" s="83"/>
      <c r="E106" s="83"/>
      <c r="F106" s="83"/>
      <c r="G106" s="79">
        <f>IF(F100&lt;&gt;0,IF(F100&lt;&gt;"N/C",(F100/G97)*E98,0),0)</f>
        <v>0</v>
      </c>
      <c r="H106" s="38"/>
    </row>
    <row r="107" spans="2:12" s="41" customFormat="1" ht="12" x14ac:dyDescent="0.2">
      <c r="B107" s="88"/>
      <c r="C107" s="80" t="str">
        <f>IF(G106=0,"",IF(F100=0,"",IF(F100="N/C","","Soit : "&amp;FIXED(F100,0)&amp;" € / "&amp;FIXED(G97,0)&amp;" km totaux x "&amp;FIXED(E98,0)&amp;" km 'associé(e)' = "&amp;FIXED(G106,0)&amp;" €")))</f>
        <v/>
      </c>
      <c r="D107" s="81"/>
      <c r="E107" s="81"/>
      <c r="F107" s="43"/>
      <c r="G107" s="43"/>
      <c r="H107" s="44"/>
    </row>
    <row r="108" spans="2:12" ht="4.5" customHeight="1" x14ac:dyDescent="0.2">
      <c r="B108" s="45"/>
      <c r="C108" s="46"/>
      <c r="D108" s="46"/>
      <c r="E108" s="46"/>
      <c r="F108" s="46"/>
      <c r="G108" s="46"/>
      <c r="H108" s="47"/>
    </row>
  </sheetData>
  <sheetProtection password="CA82" sheet="1" selectLockedCells="1"/>
  <mergeCells count="36">
    <mergeCell ref="K1:O1"/>
    <mergeCell ref="D71:G71"/>
    <mergeCell ref="F73:G74"/>
    <mergeCell ref="C80:E80"/>
    <mergeCell ref="F80:G80"/>
    <mergeCell ref="F77:F78"/>
    <mergeCell ref="G77:G78"/>
    <mergeCell ref="C60:E60"/>
    <mergeCell ref="F60:G60"/>
    <mergeCell ref="F37:F38"/>
    <mergeCell ref="G37:G38"/>
    <mergeCell ref="F13:G14"/>
    <mergeCell ref="C20:E20"/>
    <mergeCell ref="F20:G20"/>
    <mergeCell ref="D31:G31"/>
    <mergeCell ref="F33:G34"/>
    <mergeCell ref="C100:E100"/>
    <mergeCell ref="F100:G100"/>
    <mergeCell ref="D91:G91"/>
    <mergeCell ref="F93:G94"/>
    <mergeCell ref="F97:F98"/>
    <mergeCell ref="G97:G98"/>
    <mergeCell ref="C40:E40"/>
    <mergeCell ref="F40:G40"/>
    <mergeCell ref="D51:G51"/>
    <mergeCell ref="F53:G54"/>
    <mergeCell ref="F57:F58"/>
    <mergeCell ref="G57:G58"/>
    <mergeCell ref="D1:H1"/>
    <mergeCell ref="F17:F18"/>
    <mergeCell ref="G17:G18"/>
    <mergeCell ref="D6:G6"/>
    <mergeCell ref="D7:G7"/>
    <mergeCell ref="D8:E8"/>
    <mergeCell ref="D11:G11"/>
    <mergeCell ref="C4:H4"/>
  </mergeCells>
  <phoneticPr fontId="12" type="noConversion"/>
  <conditionalFormatting sqref="G17:G18 G37:G38 G57:G58 G77:G78 G97:G98">
    <cfRule type="cellIs" dxfId="1" priority="1" stopIfTrue="1" operator="notEqual">
      <formula>0</formula>
    </cfRule>
  </conditionalFormatting>
  <conditionalFormatting sqref="F23 F20:G20 G26 F43 F40:G40 G46 F63 F60:G60 G66 F83 F80:G80 G86 F103 F100:G100 G106">
    <cfRule type="cellIs" dxfId="0" priority="2" stopIfTrue="1" operator="notEqual">
      <formula>0</formula>
    </cfRule>
  </conditionalFormatting>
  <hyperlinks>
    <hyperlink ref="C4:H4" r:id="rId1" display="Lien vers la Documentation (§ 610 du BOI)"/>
  </hyperlinks>
  <printOptions horizontalCentered="1" verticalCentered="1"/>
  <pageMargins left="0.55118110236220474" right="0.35433070866141736" top="0.51181102362204722" bottom="0.98425196850393704" header="0.51181102362204722" footer="0.51181102362204722"/>
  <pageSetup paperSize="9" orientation="portrait" verticalDpi="0" r:id="rId2"/>
  <headerFooter alignWithMargins="0"/>
  <rowBreaks count="1" manualBreakCount="1">
    <brk id="4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5" name="Drop Down 5">
              <controlPr defaultSize="0" autoLine="0" autoPict="0">
                <anchor moveWithCells="1">
                  <from>
                    <xdr:col>3</xdr:col>
                    <xdr:colOff>781050</xdr:colOff>
                    <xdr:row>12</xdr:row>
                    <xdr:rowOff>0</xdr:rowOff>
                  </from>
                  <to>
                    <xdr:col>4</xdr:col>
                    <xdr:colOff>895350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defaultSize="0" autoLine="0" autoPict="0">
                <anchor moveWithCells="1">
                  <from>
                    <xdr:col>3</xdr:col>
                    <xdr:colOff>781050</xdr:colOff>
                    <xdr:row>13</xdr:row>
                    <xdr:rowOff>0</xdr:rowOff>
                  </from>
                  <to>
                    <xdr:col>4</xdr:col>
                    <xdr:colOff>895350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Drop Down 8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Drop Down 9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Drop Down 10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Drop Down 11">
              <controlPr defaultSize="0" autoLine="0" autoPict="0">
                <anchor moveWithCells="1">
                  <from>
                    <xdr:col>3</xdr:col>
                    <xdr:colOff>781050</xdr:colOff>
                    <xdr:row>52</xdr:row>
                    <xdr:rowOff>0</xdr:rowOff>
                  </from>
                  <to>
                    <xdr:col>4</xdr:col>
                    <xdr:colOff>895350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Drop Down 12">
              <controlPr defaultSize="0" autoLine="0" autoPict="0">
                <anchor moveWithCells="1">
                  <from>
                    <xdr:col>3</xdr:col>
                    <xdr:colOff>781050</xdr:colOff>
                    <xdr:row>53</xdr:row>
                    <xdr:rowOff>0</xdr:rowOff>
                  </from>
                  <to>
                    <xdr:col>4</xdr:col>
                    <xdr:colOff>895350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Drop Down 13">
              <controlPr defaultSize="0" autoLine="0" autoPict="0">
                <anchor moveWithCells="1">
                  <from>
                    <xdr:col>3</xdr:col>
                    <xdr:colOff>781050</xdr:colOff>
                    <xdr:row>72</xdr:row>
                    <xdr:rowOff>0</xdr:rowOff>
                  </from>
                  <to>
                    <xdr:col>4</xdr:col>
                    <xdr:colOff>895350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Drop Down 14">
              <controlPr defaultSize="0" autoLine="0" autoPict="0">
                <anchor moveWithCells="1">
                  <from>
                    <xdr:col>3</xdr:col>
                    <xdr:colOff>781050</xdr:colOff>
                    <xdr:row>73</xdr:row>
                    <xdr:rowOff>0</xdr:rowOff>
                  </from>
                  <to>
                    <xdr:col>4</xdr:col>
                    <xdr:colOff>895350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Drop Down 15">
              <controlPr defaultSize="0" autoLine="0" autoPict="0">
                <anchor moveWithCells="1">
                  <from>
                    <xdr:col>3</xdr:col>
                    <xdr:colOff>781050</xdr:colOff>
                    <xdr:row>92</xdr:row>
                    <xdr:rowOff>0</xdr:rowOff>
                  </from>
                  <to>
                    <xdr:col>4</xdr:col>
                    <xdr:colOff>895350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Drop Down 16">
              <controlPr defaultSize="0" autoLine="0" autoPict="0">
                <anchor moveWithCells="1">
                  <from>
                    <xdr:col>3</xdr:col>
                    <xdr:colOff>781050</xdr:colOff>
                    <xdr:row>93</xdr:row>
                    <xdr:rowOff>0</xdr:rowOff>
                  </from>
                  <to>
                    <xdr:col>4</xdr:col>
                    <xdr:colOff>895350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19050</xdr:rowOff>
                  </from>
                  <to>
                    <xdr:col>4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4</xdr:col>
                    <xdr:colOff>85725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54</xdr:row>
                    <xdr:rowOff>28575</xdr:rowOff>
                  </from>
                  <to>
                    <xdr:col>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74</xdr:row>
                    <xdr:rowOff>28575</xdr:rowOff>
                  </from>
                  <to>
                    <xdr:col>4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94</xdr:row>
                    <xdr:rowOff>28575</xdr:rowOff>
                  </from>
                  <to>
                    <xdr:col>4</xdr:col>
                    <xdr:colOff>104775</xdr:colOff>
                    <xdr:row>95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230"/>
  </sheetPr>
  <dimension ref="A1:G41"/>
  <sheetViews>
    <sheetView showGridLines="0" showRowColHeaders="0" workbookViewId="0">
      <selection activeCell="E11" sqref="E11:F11"/>
    </sheetView>
  </sheetViews>
  <sheetFormatPr baseColWidth="10" defaultColWidth="0" defaultRowHeight="15" zeroHeight="1" x14ac:dyDescent="0.2"/>
  <cols>
    <col min="1" max="4" width="11.42578125" style="24" customWidth="1"/>
    <col min="5" max="5" width="14.5703125" style="24" customWidth="1"/>
    <col min="6" max="6" width="17.5703125" style="24" customWidth="1"/>
    <col min="7" max="7" width="4.85546875" style="24" customWidth="1"/>
    <col min="8" max="16384" width="0" style="24" hidden="1"/>
  </cols>
  <sheetData>
    <row r="1" spans="1:7" x14ac:dyDescent="0.2">
      <c r="A1" s="48"/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48"/>
      <c r="F2" s="48"/>
      <c r="G2" s="48"/>
    </row>
    <row r="3" spans="1:7" x14ac:dyDescent="0.2">
      <c r="A3" s="48"/>
      <c r="B3" s="48"/>
      <c r="C3" s="48"/>
      <c r="D3" s="48"/>
      <c r="E3" s="48"/>
      <c r="F3" s="48"/>
      <c r="G3" s="48"/>
    </row>
    <row r="4" spans="1:7" ht="34.5" customHeight="1" x14ac:dyDescent="0.2">
      <c r="A4" s="158" t="s">
        <v>40</v>
      </c>
      <c r="B4" s="158"/>
      <c r="C4" s="158"/>
      <c r="D4" s="158"/>
      <c r="E4" s="158"/>
      <c r="F4" s="158"/>
      <c r="G4" s="158"/>
    </row>
    <row r="5" spans="1:7" x14ac:dyDescent="0.2">
      <c r="A5" s="48"/>
      <c r="B5" s="48"/>
      <c r="C5" s="48"/>
      <c r="D5" s="48"/>
      <c r="E5" s="48"/>
      <c r="F5" s="48"/>
      <c r="G5" s="48"/>
    </row>
    <row r="6" spans="1:7" x14ac:dyDescent="0.2">
      <c r="A6" s="48"/>
      <c r="B6" s="48"/>
      <c r="C6" s="48"/>
      <c r="D6" s="48"/>
      <c r="E6" s="48"/>
      <c r="F6" s="48"/>
      <c r="G6" s="48"/>
    </row>
    <row r="7" spans="1:7" ht="67.5" customHeight="1" x14ac:dyDescent="0.2">
      <c r="A7" s="48"/>
      <c r="B7" s="159" t="str">
        <f>"Je soussigné, "&amp;'Frais AUTO'!C3&amp;", "&amp;'Frais AUTO'!C4&amp;", ai opté le 1er Janvier "&amp;'Frais AUTO'!F5&amp;" pour l'évaluation forfaitaire des frais de carburant supportés au cours de déplacements professionnels au titre de véhicules pris en location."</f>
        <v>Je soussigné, , , ai opté le 1er Janvier 2025 pour l'évaluation forfaitaire des frais de carburant supportés au cours de déplacements professionnels au titre de véhicules pris en location.</v>
      </c>
      <c r="C7" s="159"/>
      <c r="D7" s="159"/>
      <c r="E7" s="159"/>
      <c r="F7" s="159"/>
      <c r="G7" s="48"/>
    </row>
    <row r="8" spans="1:7" x14ac:dyDescent="0.2">
      <c r="A8" s="48"/>
      <c r="B8" s="48"/>
      <c r="C8" s="48"/>
      <c r="D8" s="48"/>
      <c r="E8" s="48"/>
      <c r="F8" s="48"/>
      <c r="G8" s="48"/>
    </row>
    <row r="9" spans="1:7" ht="15.75" x14ac:dyDescent="0.25">
      <c r="A9" s="48"/>
      <c r="B9" s="160" t="s">
        <v>55</v>
      </c>
      <c r="C9" s="161"/>
      <c r="D9" s="161"/>
      <c r="E9" s="161"/>
      <c r="F9" s="161"/>
      <c r="G9" s="48"/>
    </row>
    <row r="10" spans="1:7" x14ac:dyDescent="0.2">
      <c r="A10" s="48"/>
      <c r="B10" s="48"/>
      <c r="C10" s="48"/>
      <c r="D10" s="48"/>
      <c r="E10" s="48"/>
      <c r="F10" s="48"/>
      <c r="G10" s="48"/>
    </row>
    <row r="11" spans="1:7" ht="15.75" x14ac:dyDescent="0.25">
      <c r="A11" s="48"/>
      <c r="B11" s="49" t="s">
        <v>44</v>
      </c>
      <c r="C11" s="50"/>
      <c r="D11" s="50"/>
      <c r="E11" s="150"/>
      <c r="F11" s="152"/>
      <c r="G11" s="48"/>
    </row>
    <row r="12" spans="1:7" x14ac:dyDescent="0.2">
      <c r="A12" s="48"/>
      <c r="B12" s="49"/>
      <c r="C12" s="50"/>
      <c r="D12" s="50"/>
      <c r="E12" s="51"/>
      <c r="F12" s="51"/>
      <c r="G12" s="48"/>
    </row>
    <row r="13" spans="1:7" x14ac:dyDescent="0.2">
      <c r="A13" s="48"/>
      <c r="B13" s="52" t="s">
        <v>41</v>
      </c>
      <c r="C13" s="48"/>
      <c r="D13" s="48"/>
      <c r="E13" s="48"/>
      <c r="F13" s="48"/>
      <c r="G13" s="48"/>
    </row>
    <row r="14" spans="1:7" ht="15.75" x14ac:dyDescent="0.25">
      <c r="A14" s="48"/>
      <c r="B14" s="48"/>
      <c r="C14" s="52" t="s">
        <v>42</v>
      </c>
      <c r="D14" s="48"/>
      <c r="E14" s="150"/>
      <c r="F14" s="152"/>
      <c r="G14" s="48"/>
    </row>
    <row r="15" spans="1:7" ht="15.75" x14ac:dyDescent="0.25">
      <c r="A15" s="48"/>
      <c r="B15" s="48"/>
      <c r="C15" s="52" t="s">
        <v>43</v>
      </c>
      <c r="D15" s="48"/>
      <c r="E15" s="150"/>
      <c r="F15" s="152"/>
      <c r="G15" s="48"/>
    </row>
    <row r="16" spans="1:7" ht="15.75" x14ac:dyDescent="0.25">
      <c r="A16" s="48"/>
      <c r="B16" s="48"/>
      <c r="C16" s="150"/>
      <c r="D16" s="151"/>
      <c r="E16" s="151"/>
      <c r="F16" s="152"/>
      <c r="G16" s="48"/>
    </row>
    <row r="17" spans="1:7" ht="15.75" x14ac:dyDescent="0.25">
      <c r="A17" s="48"/>
      <c r="B17" s="48"/>
      <c r="C17" s="150"/>
      <c r="D17" s="151"/>
      <c r="E17" s="151"/>
      <c r="F17" s="152"/>
      <c r="G17" s="48"/>
    </row>
    <row r="18" spans="1:7" x14ac:dyDescent="0.2">
      <c r="A18" s="48"/>
      <c r="B18" s="48"/>
      <c r="C18" s="48"/>
      <c r="D18" s="48"/>
      <c r="E18" s="48"/>
      <c r="F18" s="48"/>
      <c r="G18" s="48"/>
    </row>
    <row r="19" spans="1:7" ht="15.75" x14ac:dyDescent="0.25">
      <c r="A19" s="48"/>
      <c r="B19" s="53" t="s">
        <v>47</v>
      </c>
      <c r="C19" s="48"/>
      <c r="D19" s="48"/>
      <c r="E19" s="48"/>
      <c r="F19" s="48"/>
      <c r="G19" s="48"/>
    </row>
    <row r="20" spans="1:7" ht="15.75" x14ac:dyDescent="0.25">
      <c r="A20" s="48"/>
      <c r="B20" s="48"/>
      <c r="C20" s="52" t="s">
        <v>45</v>
      </c>
      <c r="D20" s="150"/>
      <c r="E20" s="151"/>
      <c r="F20" s="152"/>
      <c r="G20" s="48"/>
    </row>
    <row r="21" spans="1:7" ht="15.75" x14ac:dyDescent="0.25">
      <c r="A21" s="48"/>
      <c r="B21" s="48"/>
      <c r="C21" s="52" t="s">
        <v>46</v>
      </c>
      <c r="D21" s="54"/>
      <c r="E21" s="155"/>
      <c r="F21" s="156"/>
      <c r="G21" s="48"/>
    </row>
    <row r="22" spans="1:7" x14ac:dyDescent="0.2">
      <c r="A22" s="48"/>
      <c r="B22" s="48"/>
      <c r="C22" s="48"/>
      <c r="D22" s="48"/>
      <c r="E22" s="48"/>
      <c r="F22" s="48"/>
      <c r="G22" s="48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ht="15.75" x14ac:dyDescent="0.25">
      <c r="A24" s="48"/>
      <c r="B24" s="53" t="s">
        <v>48</v>
      </c>
      <c r="C24" s="48"/>
      <c r="D24" s="48"/>
      <c r="E24" s="48"/>
      <c r="F24" s="26"/>
      <c r="G24" s="48"/>
    </row>
    <row r="25" spans="1:7" x14ac:dyDescent="0.2">
      <c r="A25" s="48"/>
      <c r="B25" s="48"/>
      <c r="C25" s="48"/>
      <c r="D25" s="48"/>
      <c r="E25" s="48"/>
      <c r="F25" s="48"/>
      <c r="G25" s="48"/>
    </row>
    <row r="26" spans="1:7" x14ac:dyDescent="0.2">
      <c r="A26" s="48"/>
      <c r="B26" s="52" t="s">
        <v>49</v>
      </c>
      <c r="C26" s="48"/>
      <c r="D26" s="48"/>
      <c r="E26" s="48"/>
      <c r="F26" s="48"/>
      <c r="G26" s="48"/>
    </row>
    <row r="27" spans="1:7" ht="15.75" x14ac:dyDescent="0.25">
      <c r="A27" s="48"/>
      <c r="B27" s="48" t="s">
        <v>50</v>
      </c>
      <c r="C27" s="48"/>
      <c r="D27" s="48"/>
      <c r="E27" s="48"/>
      <c r="F27" s="26"/>
      <c r="G27" s="48"/>
    </row>
    <row r="28" spans="1:7" x14ac:dyDescent="0.2">
      <c r="A28" s="48"/>
      <c r="B28" s="48"/>
      <c r="C28" s="48"/>
      <c r="D28" s="48"/>
      <c r="E28" s="48"/>
      <c r="F28" s="48"/>
      <c r="G28" s="48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ht="15.75" x14ac:dyDescent="0.25">
      <c r="A30" s="48"/>
      <c r="B30" s="53" t="s">
        <v>51</v>
      </c>
      <c r="C30" s="48"/>
      <c r="D30" s="48"/>
      <c r="E30" s="48"/>
      <c r="F30" s="25" t="str">
        <f>FIXED('Frais AUTO'!E29,0)&amp;" €"</f>
        <v>0 €</v>
      </c>
      <c r="G30" s="48"/>
    </row>
    <row r="31" spans="1:7" x14ac:dyDescent="0.2">
      <c r="A31" s="48"/>
      <c r="B31" s="48"/>
      <c r="C31" s="48"/>
      <c r="D31" s="48"/>
      <c r="E31" s="48"/>
      <c r="F31" s="48"/>
      <c r="G31" s="48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x14ac:dyDescent="0.2">
      <c r="A33" s="48"/>
      <c r="B33" s="48" t="s">
        <v>52</v>
      </c>
      <c r="C33" s="153"/>
      <c r="D33" s="157"/>
      <c r="E33" s="157"/>
      <c r="F33" s="154"/>
      <c r="G33" s="48"/>
    </row>
    <row r="34" spans="1:7" x14ac:dyDescent="0.2">
      <c r="A34" s="48"/>
      <c r="B34" s="48" t="s">
        <v>53</v>
      </c>
      <c r="C34" s="153"/>
      <c r="D34" s="154"/>
      <c r="E34" s="48"/>
      <c r="F34" s="48"/>
      <c r="G34" s="48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48"/>
      <c r="B36" s="48" t="s">
        <v>54</v>
      </c>
      <c r="C36" s="48"/>
      <c r="D36" s="48"/>
      <c r="E36" s="48"/>
      <c r="F36" s="48"/>
      <c r="G36" s="48"/>
    </row>
    <row r="37" spans="1:7" x14ac:dyDescent="0.2">
      <c r="A37" s="48"/>
      <c r="B37" s="48"/>
      <c r="C37" s="48"/>
      <c r="D37" s="48"/>
      <c r="E37" s="48"/>
      <c r="F37" s="48"/>
      <c r="G37" s="48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8"/>
      <c r="B39" s="48"/>
      <c r="C39" s="48"/>
      <c r="D39" s="48"/>
      <c r="E39" s="48"/>
      <c r="F39" s="48"/>
      <c r="G39" s="48"/>
    </row>
    <row r="40" spans="1:7" x14ac:dyDescent="0.2">
      <c r="A40" s="48"/>
      <c r="B40" s="48"/>
      <c r="C40" s="48"/>
      <c r="D40" s="48"/>
      <c r="E40" s="48"/>
      <c r="F40" s="48"/>
      <c r="G40" s="48"/>
    </row>
    <row r="41" spans="1:7" x14ac:dyDescent="0.2">
      <c r="A41" s="48"/>
      <c r="B41" s="48"/>
      <c r="C41" s="48"/>
      <c r="D41" s="48"/>
      <c r="E41" s="48"/>
      <c r="F41" s="48"/>
      <c r="G41" s="48"/>
    </row>
  </sheetData>
  <sheetProtection password="CA82" sheet="1" selectLockedCells="1"/>
  <mergeCells count="12">
    <mergeCell ref="E15:F15"/>
    <mergeCell ref="A4:G4"/>
    <mergeCell ref="B7:F7"/>
    <mergeCell ref="B9:F9"/>
    <mergeCell ref="E11:F11"/>
    <mergeCell ref="E14:F14"/>
    <mergeCell ref="C16:F16"/>
    <mergeCell ref="C17:F17"/>
    <mergeCell ref="C34:D34"/>
    <mergeCell ref="D20:F20"/>
    <mergeCell ref="E21:F21"/>
    <mergeCell ref="C33:F3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Zeros="0" workbookViewId="0">
      <selection activeCell="J10" sqref="J10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9" x14ac:dyDescent="0.2">
      <c r="A1" s="3" t="s">
        <v>8</v>
      </c>
      <c r="B1" s="3"/>
      <c r="G1" s="7" t="s">
        <v>60</v>
      </c>
      <c r="H1">
        <v>1</v>
      </c>
      <c r="I1">
        <v>-5000</v>
      </c>
      <c r="J1" s="162" t="s">
        <v>28</v>
      </c>
      <c r="K1" s="162"/>
      <c r="L1">
        <v>20000</v>
      </c>
      <c r="N1" s="118">
        <v>1.2</v>
      </c>
      <c r="S1" s="119"/>
    </row>
    <row r="2" spans="1:19" x14ac:dyDescent="0.2">
      <c r="A2" s="3">
        <f>2+H1</f>
        <v>3</v>
      </c>
      <c r="B2" s="3" t="s">
        <v>9</v>
      </c>
      <c r="G2" t="s">
        <v>24</v>
      </c>
      <c r="I2">
        <v>0.52900000000000003</v>
      </c>
      <c r="J2">
        <v>0.316</v>
      </c>
      <c r="K2">
        <v>1065</v>
      </c>
      <c r="L2">
        <v>0.37</v>
      </c>
      <c r="O2">
        <v>0.63500000000000001</v>
      </c>
      <c r="P2">
        <v>0.379</v>
      </c>
      <c r="Q2">
        <v>1278</v>
      </c>
      <c r="R2">
        <v>0.44400000000000001</v>
      </c>
    </row>
    <row r="3" spans="1:19" x14ac:dyDescent="0.2">
      <c r="A3" s="3">
        <f>'Frais AUTO'!D13</f>
        <v>0</v>
      </c>
      <c r="B3" s="3" t="s">
        <v>10</v>
      </c>
      <c r="G3" t="s">
        <v>25</v>
      </c>
      <c r="I3">
        <v>0.60599999999999998</v>
      </c>
      <c r="J3">
        <v>0.34</v>
      </c>
      <c r="K3">
        <v>1330</v>
      </c>
      <c r="L3">
        <v>0.40699999999999997</v>
      </c>
      <c r="O3">
        <v>0.72699999999999998</v>
      </c>
      <c r="P3">
        <v>0.40799999999999997</v>
      </c>
      <c r="Q3">
        <v>1596</v>
      </c>
      <c r="R3">
        <v>0.48799999999999999</v>
      </c>
    </row>
    <row r="4" spans="1:19" x14ac:dyDescent="0.2">
      <c r="A4" s="3"/>
      <c r="B4" s="3"/>
      <c r="G4" t="s">
        <v>26</v>
      </c>
      <c r="I4">
        <v>0.63600000000000001</v>
      </c>
      <c r="J4">
        <v>0.35699999999999998</v>
      </c>
      <c r="K4">
        <v>1395</v>
      </c>
      <c r="L4">
        <v>0.42699999999999999</v>
      </c>
      <c r="O4">
        <v>0.76300000000000001</v>
      </c>
      <c r="P4">
        <v>0.42799999999999999</v>
      </c>
      <c r="Q4">
        <v>1674</v>
      </c>
      <c r="R4">
        <v>0.51200000000000001</v>
      </c>
    </row>
    <row r="5" spans="1:19" x14ac:dyDescent="0.2">
      <c r="A5" s="3" t="s">
        <v>60</v>
      </c>
      <c r="B5" s="3"/>
      <c r="G5" t="s">
        <v>27</v>
      </c>
      <c r="I5">
        <v>0.66500000000000004</v>
      </c>
      <c r="J5">
        <v>0.374</v>
      </c>
      <c r="K5">
        <v>1457</v>
      </c>
      <c r="L5">
        <v>0.44700000000000001</v>
      </c>
      <c r="O5">
        <v>0.79800000000000004</v>
      </c>
      <c r="P5">
        <v>0.44900000000000001</v>
      </c>
      <c r="Q5">
        <v>1748</v>
      </c>
      <c r="R5">
        <v>0.53600000000000003</v>
      </c>
    </row>
    <row r="6" spans="1:19" x14ac:dyDescent="0.2">
      <c r="A6" s="3">
        <v>3</v>
      </c>
      <c r="B6" s="4" t="str">
        <f>IF(A$3=0,"",IF(A$2=A6,IF(A$3&lt;=5000,A$3*I2,IF(A$3&gt;20000,A$3*L2,((A$3*J2)+K2))),""))</f>
        <v/>
      </c>
      <c r="D6" s="4" t="str">
        <f t="shared" ref="D6:D16" si="0">IF(A$3=0,"",IF(A$2=A6,IF(A$3&lt;=5000,I2&amp;" )",IF(A$3&gt;20000,L2&amp;" )",J2&amp;" ) + "&amp;FIXED(K2,0))),""))</f>
        <v/>
      </c>
      <c r="E6" s="4"/>
      <c r="G6" t="s">
        <v>88</v>
      </c>
      <c r="I6">
        <v>0.69699999999999995</v>
      </c>
      <c r="J6">
        <v>0.39400000000000002</v>
      </c>
      <c r="K6">
        <v>1515</v>
      </c>
      <c r="L6">
        <v>0.47</v>
      </c>
      <c r="O6">
        <v>0.83599999999999997</v>
      </c>
      <c r="P6">
        <v>0.47299999999999998</v>
      </c>
      <c r="Q6">
        <v>1818</v>
      </c>
      <c r="R6">
        <v>0.56399999999999995</v>
      </c>
    </row>
    <row r="7" spans="1:19" x14ac:dyDescent="0.2">
      <c r="A7" s="3">
        <v>4</v>
      </c>
      <c r="B7" s="4" t="str">
        <f>IF(A$3=0,"",IF(A$2=A7,IF(A$3&lt;=5000,A$3*I3,IF(A$3&gt;20000,A$3*L3,((A$3*J3)+K3))),""))</f>
        <v/>
      </c>
      <c r="D7" s="4" t="str">
        <f t="shared" si="0"/>
        <v/>
      </c>
    </row>
    <row r="8" spans="1:19" x14ac:dyDescent="0.2">
      <c r="A8" s="3">
        <v>5</v>
      </c>
      <c r="B8" s="4" t="str">
        <f t="shared" ref="B8:B15" si="1">IF(A$3=0,"",IF(A$2=A8,IF(A$3&lt;=5000,A$3*I4,IF(A$3&gt;20000,A$3*L4,((A$3*J4)+K4))),""))</f>
        <v/>
      </c>
      <c r="D8" s="4" t="str">
        <f t="shared" si="0"/>
        <v/>
      </c>
      <c r="G8" t="s">
        <v>84</v>
      </c>
      <c r="H8" t="b">
        <v>0</v>
      </c>
      <c r="I8" t="str">
        <f>IF(H8=TRUE,IF(AND(A3&gt;5000,A3&lt;=20000),"[ ",""),"")</f>
        <v/>
      </c>
      <c r="J8" s="59" t="str">
        <f>IF(H8=TRUE,IF(AND(A3&gt;5000,A3&lt;=20000)," ] x 120 % "," x 120 % "),"")</f>
        <v/>
      </c>
    </row>
    <row r="9" spans="1:19" x14ac:dyDescent="0.2">
      <c r="A9" s="3">
        <v>6</v>
      </c>
      <c r="B9" s="4" t="str">
        <f t="shared" si="1"/>
        <v/>
      </c>
      <c r="D9" s="4" t="str">
        <f t="shared" si="0"/>
        <v/>
      </c>
    </row>
    <row r="10" spans="1:19" x14ac:dyDescent="0.2">
      <c r="A10" s="3">
        <v>7</v>
      </c>
      <c r="B10" s="4" t="str">
        <f t="shared" si="1"/>
        <v/>
      </c>
      <c r="D10" s="4" t="str">
        <f t="shared" si="0"/>
        <v/>
      </c>
    </row>
    <row r="11" spans="1:19" x14ac:dyDescent="0.2">
      <c r="A11" s="3">
        <v>8</v>
      </c>
      <c r="B11" s="4" t="str">
        <f t="shared" si="1"/>
        <v/>
      </c>
      <c r="D11" s="4" t="str">
        <f t="shared" si="0"/>
        <v/>
      </c>
    </row>
    <row r="12" spans="1:19" x14ac:dyDescent="0.2">
      <c r="A12" s="3">
        <v>9</v>
      </c>
      <c r="B12" s="4" t="str">
        <f>IF(A$3=0,"",IF(A$2=A12,IF(A$3&lt;=5000,A$3*J8,IF(A$3&gt;20000,A$3*L8,((A$3*#REF!)+K8))),""))</f>
        <v/>
      </c>
      <c r="D12" s="4" t="str">
        <f>IF(A$3=0,"",IF(A$2=A12,IF(A$3&lt;=5000,J8&amp;" )",IF(A$3&gt;20000,L8&amp;" )",#REF!&amp;" ) + "&amp;FIXED(K8,0))),""))</f>
        <v/>
      </c>
    </row>
    <row r="13" spans="1:19" x14ac:dyDescent="0.2">
      <c r="A13" s="3">
        <v>10</v>
      </c>
      <c r="B13" s="4" t="str">
        <f t="shared" si="1"/>
        <v/>
      </c>
      <c r="D13" s="4" t="str">
        <f t="shared" si="0"/>
        <v/>
      </c>
    </row>
    <row r="14" spans="1:19" x14ac:dyDescent="0.2">
      <c r="A14" s="3">
        <v>11</v>
      </c>
      <c r="B14" s="4" t="str">
        <f t="shared" si="1"/>
        <v/>
      </c>
      <c r="D14" s="4" t="str">
        <f t="shared" si="0"/>
        <v/>
      </c>
    </row>
    <row r="15" spans="1:19" x14ac:dyDescent="0.2">
      <c r="A15" s="3">
        <v>12</v>
      </c>
      <c r="B15" s="4" t="str">
        <f t="shared" si="1"/>
        <v/>
      </c>
      <c r="D15" s="4" t="str">
        <f t="shared" si="0"/>
        <v/>
      </c>
    </row>
    <row r="16" spans="1:19" x14ac:dyDescent="0.2">
      <c r="A16" s="3">
        <v>13</v>
      </c>
      <c r="B16" s="4" t="str">
        <f>IF(A$3=0,"",IF(A$2=A16,IF(A$3&lt;=5000,A$3*I12,IF(A$3&gt;20000,A$3*L12,((A$3*J12)+K12))),""))</f>
        <v/>
      </c>
      <c r="D16" s="4" t="str">
        <f t="shared" si="0"/>
        <v/>
      </c>
    </row>
    <row r="17" spans="1:11" x14ac:dyDescent="0.2">
      <c r="A17" s="3"/>
      <c r="B17" s="4">
        <f>ROUND(IF(H8=FALSE,SUM(B6:B16),SUM(B6:B16)*1.2),0)</f>
        <v>0</v>
      </c>
      <c r="D17" s="2" t="str">
        <f>D6 &amp; D7 &amp; D8 &amp; D9 &amp; D10 &amp; D11 &amp; D12 &amp; D13 &amp; D14 &amp; D15 &amp; D16</f>
        <v/>
      </c>
    </row>
    <row r="18" spans="1:11" x14ac:dyDescent="0.2">
      <c r="A18" s="3"/>
      <c r="B18" s="3"/>
    </row>
    <row r="19" spans="1:11" x14ac:dyDescent="0.2">
      <c r="A19" s="3" t="s">
        <v>11</v>
      </c>
      <c r="B19" s="3"/>
      <c r="G19" s="7" t="s">
        <v>29</v>
      </c>
      <c r="H19">
        <v>1</v>
      </c>
      <c r="I19" t="s">
        <v>30</v>
      </c>
      <c r="J19" t="s">
        <v>31</v>
      </c>
      <c r="K19" t="s">
        <v>32</v>
      </c>
    </row>
    <row r="20" spans="1:11" x14ac:dyDescent="0.2">
      <c r="A20" s="3">
        <f>IF(H19=1,4,IF(H19=2,7,IF(H19=3,9,IF(H19=4,11,12))))</f>
        <v>4</v>
      </c>
      <c r="B20" s="3" t="s">
        <v>9</v>
      </c>
      <c r="G20" t="s">
        <v>39</v>
      </c>
      <c r="I20">
        <v>9.4E-2</v>
      </c>
      <c r="J20">
        <v>0.11899999999999999</v>
      </c>
      <c r="K20">
        <v>7.3999999999999996E-2</v>
      </c>
    </row>
    <row r="21" spans="1:11" x14ac:dyDescent="0.2">
      <c r="A21" s="3">
        <f>'Frais AUTO'!D24</f>
        <v>0</v>
      </c>
      <c r="B21" s="3" t="s">
        <v>10</v>
      </c>
      <c r="G21" t="s">
        <v>12</v>
      </c>
      <c r="I21">
        <v>0.11600000000000001</v>
      </c>
      <c r="J21">
        <v>0.14699999999999999</v>
      </c>
      <c r="K21">
        <v>9.0999999999999998E-2</v>
      </c>
    </row>
    <row r="22" spans="1:11" ht="16.5" customHeight="1" x14ac:dyDescent="0.2">
      <c r="B22" s="3"/>
      <c r="G22" t="s">
        <v>13</v>
      </c>
      <c r="I22">
        <v>0.13700000000000001</v>
      </c>
      <c r="J22">
        <v>0.17399999999999999</v>
      </c>
      <c r="K22">
        <v>0.108</v>
      </c>
    </row>
    <row r="23" spans="1:11" x14ac:dyDescent="0.2">
      <c r="A23" s="3">
        <v>4</v>
      </c>
      <c r="B23" s="3">
        <f>IF($A$20&lt;=A23,IF($H$26=1,A$21*I20,IF($H$26=2,A$21*J20,IF($H$26=3,A$21*K20,IF($H$26=4,A$21*L20,"")))),"")</f>
        <v>0</v>
      </c>
      <c r="D23" s="3">
        <f>IF($A$20&lt;=A23,IF($H$26=1,I20,IF($H$26=2,J20,IF($H$26=3,K20,IF($H$26=4,L20,"")))),"")</f>
        <v>9.4E-2</v>
      </c>
      <c r="G23" t="s">
        <v>14</v>
      </c>
      <c r="I23">
        <v>0.155</v>
      </c>
      <c r="J23">
        <v>0.19700000000000001</v>
      </c>
      <c r="K23">
        <v>0.122</v>
      </c>
    </row>
    <row r="24" spans="1:11" x14ac:dyDescent="0.2">
      <c r="A24" s="3">
        <v>7</v>
      </c>
      <c r="B24" s="3" t="str">
        <f>IF($A$20&gt;A23,IF($A$20&lt;=A24,IF($H$26=1,A$21*I21,IF($H$26=2,A$21*J21,IF($H$26=3,A$21*K21,IF($H$26=4,A$21*L21,"")))),""),"")</f>
        <v/>
      </c>
      <c r="D24" s="3" t="str">
        <f>IF($A$20&gt;A23,IF($A$20&lt;=A24,IF($H$26=1,I21,IF($H$26=2,J21,IF($H$26=3,K21,IF($H$26=4,L21,"")))),""),"")</f>
        <v/>
      </c>
      <c r="G24" t="s">
        <v>15</v>
      </c>
      <c r="I24">
        <v>0.17199999999999999</v>
      </c>
      <c r="J24">
        <v>0.219</v>
      </c>
      <c r="K24">
        <v>0.13600000000000001</v>
      </c>
    </row>
    <row r="25" spans="1:11" x14ac:dyDescent="0.2">
      <c r="A25" s="3">
        <v>9</v>
      </c>
      <c r="B25" s="3" t="str">
        <f>IF($A$20&gt;A24,IF($A$20&lt;=A25,IF($H$26=1,A$21*I22,IF($H$26=2,A$21*J22,IF($H$26=3,A$21*K22,IF($H$26=4,A$21*L22,"")))),""),"")</f>
        <v/>
      </c>
      <c r="D25" s="3" t="str">
        <f>IF($A$20&gt;A24,IF($A$20&lt;=A25,IF($H$26=1,I22,IF($H$26=2,J22,IF($H$26=3,K22,IF($H$26=4,L22,"")))),""),"")</f>
        <v/>
      </c>
    </row>
    <row r="26" spans="1:11" x14ac:dyDescent="0.2">
      <c r="A26" s="3">
        <v>11</v>
      </c>
      <c r="B26" s="3" t="str">
        <f>IF($A$20&gt;A25,IF($A$20&lt;=A26,IF($H$26=1,A$21*I23,IF($H$26=2,A$21*J23,IF($H$26=3,A$21*K23,IF($H$26=4,A$21*L23,"")))),""),"")</f>
        <v/>
      </c>
      <c r="D26" s="3" t="str">
        <f>IF($A$20&gt;A25,IF($A$20&lt;=A26,IF($H$26=1,I23,IF($H$26=2,J23,IF($H$26=3,K23,IF($H$26=4,L23,"")))),""),"")</f>
        <v/>
      </c>
      <c r="G26" t="s">
        <v>33</v>
      </c>
      <c r="H26">
        <v>1</v>
      </c>
    </row>
    <row r="27" spans="1:11" x14ac:dyDescent="0.2">
      <c r="A27" s="3">
        <v>12</v>
      </c>
      <c r="B27" s="3" t="str">
        <f>IF($A$20&gt;=A27,IF(H26=1,A$21*I24,IF(H26=2,A$21*J24,IF(H26=3,A$21*K24,IF(H26=4,A$21*L24,"")))),"")</f>
        <v/>
      </c>
      <c r="D27" s="3" t="str">
        <f>IF($A$20&gt;=A27,IF(H26=1,I24,IF(H26=2,J24,IF(H26=3,K24,IF(H26=4,L24,"")))),"")</f>
        <v/>
      </c>
      <c r="G27" t="s">
        <v>34</v>
      </c>
    </row>
    <row r="28" spans="1:11" x14ac:dyDescent="0.2">
      <c r="A28" s="3"/>
      <c r="B28" s="3">
        <f>ROUND(SUM(B23:B27),0)</f>
        <v>0</v>
      </c>
      <c r="D28" s="16" t="str">
        <f>D23 &amp; D24 &amp; D25 &amp; D26 &amp; D27</f>
        <v>0,094</v>
      </c>
      <c r="G28" t="s">
        <v>35</v>
      </c>
    </row>
    <row r="29" spans="1:11" x14ac:dyDescent="0.2">
      <c r="A29" s="3"/>
      <c r="B29" s="3"/>
    </row>
    <row r="30" spans="1:11" x14ac:dyDescent="0.2">
      <c r="A30" s="3" t="s">
        <v>16</v>
      </c>
      <c r="B30" s="3"/>
    </row>
    <row r="31" spans="1:11" x14ac:dyDescent="0.2">
      <c r="A31" s="4">
        <f>'Frais MOTO'!D10</f>
        <v>0</v>
      </c>
      <c r="B31" s="3" t="b">
        <v>1</v>
      </c>
    </row>
    <row r="32" spans="1:11" x14ac:dyDescent="0.2">
      <c r="A32" s="3" t="s">
        <v>60</v>
      </c>
      <c r="D32" s="2"/>
      <c r="G32" s="7" t="s">
        <v>60</v>
      </c>
      <c r="H32">
        <v>1</v>
      </c>
    </row>
    <row r="33" spans="1:18" ht="14.25" x14ac:dyDescent="0.2">
      <c r="A33" s="5" t="s">
        <v>18</v>
      </c>
      <c r="B33" s="3">
        <f>IF(H32=1,IF($A$31&lt;=3000,A31*I33,IF($A$31&gt;6000,A31*L33,(A31*J33)+K33)),"")</f>
        <v>0</v>
      </c>
      <c r="D33" s="3" t="str">
        <f>IF(H32=1,IF($A$31&lt;=3000,I33&amp;" )",IF($A$31&gt;6000,L33&amp;" )",J33&amp;" ) + "&amp;K33)),"")</f>
        <v>0,315 )</v>
      </c>
      <c r="G33" s="5" t="s">
        <v>36</v>
      </c>
      <c r="I33">
        <v>0.315</v>
      </c>
      <c r="J33">
        <v>7.9000000000000001E-2</v>
      </c>
      <c r="K33">
        <v>711</v>
      </c>
      <c r="L33">
        <v>0.19800000000000001</v>
      </c>
      <c r="O33">
        <v>0.378</v>
      </c>
      <c r="P33">
        <v>9.5000000000000001E-2</v>
      </c>
      <c r="Q33">
        <v>853</v>
      </c>
      <c r="R33">
        <v>0.23799999999999999</v>
      </c>
    </row>
    <row r="34" spans="1:18" x14ac:dyDescent="0.2">
      <c r="A34" s="3" t="s">
        <v>56</v>
      </c>
      <c r="B34" s="3" t="str">
        <f>IF(H32=2,IF($A31&lt;=3000,A31*I34,IF($A$31&gt;6000,A31*L34,(A31*J34)+K34)),"")</f>
        <v/>
      </c>
      <c r="D34" s="3" t="str">
        <f>IF(H32=2,IF($A$31&lt;=3000,I34&amp;" )",IF($A$31&gt;6000,L34&amp;" )",J34&amp;" ) + "&amp;K34)),"")</f>
        <v/>
      </c>
      <c r="G34" s="3" t="s">
        <v>56</v>
      </c>
      <c r="I34">
        <v>0.39500000000000002</v>
      </c>
      <c r="J34">
        <v>9.9000000000000005E-2</v>
      </c>
      <c r="K34">
        <v>891</v>
      </c>
      <c r="L34">
        <v>0.248</v>
      </c>
      <c r="O34">
        <v>0.47399999999999998</v>
      </c>
      <c r="P34">
        <v>0.11899999999999999</v>
      </c>
      <c r="Q34">
        <v>1069</v>
      </c>
      <c r="R34">
        <v>0.29799999999999999</v>
      </c>
    </row>
    <row r="35" spans="1:18" x14ac:dyDescent="0.2">
      <c r="A35" s="3" t="s">
        <v>20</v>
      </c>
      <c r="B35" s="3" t="str">
        <f>IF(H32=3,IF($A$31&lt;=3000,A31*I35,IF($A$31&gt;6000,A31*L35,(A31*J35)+K35)),"")</f>
        <v/>
      </c>
      <c r="D35" s="3" t="str">
        <f>IF(H32=3,IF($A$31&lt;=3000,I35&amp;" )",IF($A$31&gt;6000,L35&amp;" )",J35&amp;" ) + "&amp;K35)),"")</f>
        <v/>
      </c>
      <c r="G35" s="3" t="s">
        <v>20</v>
      </c>
      <c r="I35">
        <v>0.46800000000000003</v>
      </c>
      <c r="J35">
        <v>8.2000000000000003E-2</v>
      </c>
      <c r="K35">
        <v>1158</v>
      </c>
      <c r="L35">
        <v>0.27500000000000002</v>
      </c>
      <c r="O35">
        <v>0.56200000000000006</v>
      </c>
      <c r="P35">
        <v>9.8000000000000004E-2</v>
      </c>
      <c r="Q35">
        <v>1390</v>
      </c>
      <c r="R35">
        <v>0.33</v>
      </c>
    </row>
    <row r="36" spans="1:18" x14ac:dyDescent="0.2">
      <c r="A36" s="3" t="s">
        <v>21</v>
      </c>
      <c r="B36" s="3" t="str">
        <f>IF(H32=4,IF($A$31&lt;=3000,A31*I36,IF($A$31&gt;6000,A31*L36,(A31*J36)+K36)),"")</f>
        <v/>
      </c>
      <c r="D36" s="3" t="str">
        <f>IF(H32=4,IF($A$31&lt;=3000,I36&amp;" )",IF($A$31&gt;6000,L36&amp;" )",J36&amp;" ) + "&amp;K36)),"")</f>
        <v/>
      </c>
      <c r="G36" s="3" t="s">
        <v>21</v>
      </c>
      <c r="I36">
        <v>0.60599999999999998</v>
      </c>
      <c r="J36">
        <v>7.9000000000000001E-2</v>
      </c>
      <c r="K36">
        <v>1583</v>
      </c>
      <c r="L36">
        <v>0.34300000000000003</v>
      </c>
      <c r="O36">
        <v>0.72699999999999998</v>
      </c>
      <c r="P36">
        <v>9.5000000000000001E-2</v>
      </c>
      <c r="Q36">
        <v>1900</v>
      </c>
      <c r="R36">
        <v>0.41199999999999998</v>
      </c>
    </row>
    <row r="37" spans="1:18" x14ac:dyDescent="0.2">
      <c r="A37" s="3"/>
      <c r="B37" s="3">
        <f>ROUND(IF(H38=FALSE,SUM(B33:B36),SUM(B33:B36)*1.2),0)</f>
        <v>0</v>
      </c>
      <c r="D37" t="str">
        <f>D33 &amp; D34 &amp; D35 &amp; D36</f>
        <v>0,315 )</v>
      </c>
    </row>
    <row r="38" spans="1:18" x14ac:dyDescent="0.2">
      <c r="A38" s="3"/>
      <c r="B38" s="6"/>
      <c r="C38" s="1"/>
      <c r="D38" s="1"/>
      <c r="G38" t="s">
        <v>84</v>
      </c>
      <c r="H38" t="b">
        <v>0</v>
      </c>
      <c r="I38" t="str">
        <f>IF(H38=TRUE,IF(H32=1,IF(AND(A31&gt;2000,A31&lt;=5000),"[ ",""),IF(AND(A31&gt;3000,A31&lt;=6000),"[ ","")),"")</f>
        <v/>
      </c>
      <c r="J38" t="str">
        <f>IF(H38=TRUE,IF(H32=1,IF(AND(A31&gt;2000,A31&lt;=5000)," ] x 120 % "," x 120 % "),IF(AND(A31&gt;3000,A31&lt;=6000)," ] x 120 % "," x 120 % ")),"")</f>
        <v/>
      </c>
    </row>
    <row r="39" spans="1:18" x14ac:dyDescent="0.2">
      <c r="A39" s="3" t="s">
        <v>22</v>
      </c>
      <c r="B39" s="3"/>
    </row>
    <row r="40" spans="1:18" x14ac:dyDescent="0.2">
      <c r="A40" s="3"/>
      <c r="B40" s="3"/>
    </row>
    <row r="41" spans="1:18" x14ac:dyDescent="0.2">
      <c r="A41" s="4">
        <f>'Frais MOTO'!D21</f>
        <v>0</v>
      </c>
      <c r="B41" s="3" t="s">
        <v>17</v>
      </c>
    </row>
    <row r="42" spans="1:18" ht="14.25" x14ac:dyDescent="0.2">
      <c r="A42" s="5" t="s">
        <v>18</v>
      </c>
      <c r="B42" s="3">
        <f>IF($H$42=1,$A$41*I42,"")</f>
        <v>0</v>
      </c>
      <c r="D42" s="3" t="str">
        <f>IF(H42=1,I42&amp;" )","")</f>
        <v>0,038 )</v>
      </c>
      <c r="G42" s="5" t="s">
        <v>36</v>
      </c>
      <c r="H42">
        <v>1</v>
      </c>
      <c r="I42">
        <v>3.7999999999999999E-2</v>
      </c>
    </row>
    <row r="43" spans="1:18" ht="14.25" x14ac:dyDescent="0.2">
      <c r="A43" s="3" t="s">
        <v>19</v>
      </c>
      <c r="B43" s="3" t="str">
        <f>IF($H$42=2,$A$41*I43,"")</f>
        <v/>
      </c>
      <c r="D43" s="3" t="str">
        <f>IF(H42=2,I43&amp;" )","")</f>
        <v/>
      </c>
      <c r="G43" s="3" t="s">
        <v>37</v>
      </c>
      <c r="I43">
        <v>7.8E-2</v>
      </c>
    </row>
    <row r="44" spans="1:18" x14ac:dyDescent="0.2">
      <c r="A44" s="3" t="s">
        <v>20</v>
      </c>
      <c r="B44" s="3" t="str">
        <f>IF($H$42=3,$A$41*I44,"")</f>
        <v/>
      </c>
      <c r="D44" s="3" t="str">
        <f>IF(H42=3,I44&amp;" )","")</f>
        <v/>
      </c>
      <c r="G44" s="3" t="s">
        <v>20</v>
      </c>
      <c r="I44">
        <v>9.9000000000000005E-2</v>
      </c>
    </row>
    <row r="45" spans="1:18" x14ac:dyDescent="0.2">
      <c r="A45" s="3" t="s">
        <v>21</v>
      </c>
      <c r="B45" s="3" t="str">
        <f>IF($H$42=4,$A$41*I45,"")</f>
        <v/>
      </c>
      <c r="D45" s="3" t="str">
        <f>IF(H42=4,I45&amp;" )","")</f>
        <v/>
      </c>
      <c r="G45" s="3" t="s">
        <v>21</v>
      </c>
      <c r="I45">
        <v>0.13700000000000001</v>
      </c>
    </row>
    <row r="46" spans="1:18" x14ac:dyDescent="0.2">
      <c r="A46" s="3"/>
      <c r="B46" s="3">
        <f>ROUND(SUM(B42:B45),0)</f>
        <v>0</v>
      </c>
      <c r="D46" t="str">
        <f>D42 &amp; D43 &amp; D44 &amp; D45</f>
        <v>0,038 )</v>
      </c>
      <c r="N46">
        <f t="shared" ref="N46" si="2">I46*$N$1</f>
        <v>0</v>
      </c>
    </row>
  </sheetData>
  <mergeCells count="1">
    <mergeCell ref="J1:K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5"/>
  <sheetViews>
    <sheetView showZeros="0" zoomScale="85" workbookViewId="0">
      <selection activeCell="O53" sqref="O53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2" ht="68.25" customHeight="1" x14ac:dyDescent="0.2">
      <c r="A1" s="164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x14ac:dyDescent="0.2">
      <c r="A2" s="90" t="s">
        <v>68</v>
      </c>
      <c r="B2" s="91"/>
      <c r="C2" s="92"/>
      <c r="D2" s="92"/>
      <c r="E2" s="92"/>
      <c r="F2" s="92"/>
      <c r="G2" s="93" t="s">
        <v>60</v>
      </c>
      <c r="H2" s="92">
        <v>1</v>
      </c>
      <c r="I2" s="92">
        <v>-5000</v>
      </c>
      <c r="J2" s="163" t="s">
        <v>28</v>
      </c>
      <c r="K2" s="163"/>
      <c r="L2" s="94">
        <v>20000</v>
      </c>
    </row>
    <row r="3" spans="1:12" x14ac:dyDescent="0.2">
      <c r="A3" s="95">
        <f>1+H2</f>
        <v>2</v>
      </c>
      <c r="B3" s="96" t="s">
        <v>9</v>
      </c>
      <c r="C3" s="97"/>
      <c r="D3" s="97"/>
      <c r="E3" s="97"/>
      <c r="F3" s="97"/>
      <c r="G3" s="97" t="s">
        <v>24</v>
      </c>
      <c r="H3" s="97"/>
      <c r="I3" s="97">
        <f>Calculs!I$2</f>
        <v>0.52900000000000003</v>
      </c>
      <c r="J3" s="97">
        <f>Calculs!J$2</f>
        <v>0.316</v>
      </c>
      <c r="K3" s="97">
        <f>Calculs!K$2</f>
        <v>1065</v>
      </c>
      <c r="L3" s="98">
        <f>Calculs!L$2</f>
        <v>0.37</v>
      </c>
    </row>
    <row r="4" spans="1:12" x14ac:dyDescent="0.2">
      <c r="A4" s="99">
        <f>SOCIETES!G17</f>
        <v>0</v>
      </c>
      <c r="B4" s="96" t="s">
        <v>10</v>
      </c>
      <c r="C4" s="97"/>
      <c r="D4" s="97"/>
      <c r="E4" s="97"/>
      <c r="F4" s="97"/>
      <c r="G4" s="97" t="s">
        <v>25</v>
      </c>
      <c r="H4" s="97"/>
      <c r="I4" s="97">
        <f>Calculs!I$3</f>
        <v>0.60599999999999998</v>
      </c>
      <c r="J4" s="97">
        <f>Calculs!J$3</f>
        <v>0.34</v>
      </c>
      <c r="K4" s="97">
        <f>Calculs!K$3</f>
        <v>1330</v>
      </c>
      <c r="L4" s="98">
        <f>Calculs!L$3</f>
        <v>0.40699999999999997</v>
      </c>
    </row>
    <row r="5" spans="1:12" x14ac:dyDescent="0.2">
      <c r="A5" s="95"/>
      <c r="B5" s="96"/>
      <c r="C5" s="97"/>
      <c r="D5" s="97"/>
      <c r="E5" s="97"/>
      <c r="F5" s="97"/>
      <c r="G5" s="97" t="s">
        <v>26</v>
      </c>
      <c r="H5" s="97"/>
      <c r="I5" s="97">
        <f>Calculs!I$4</f>
        <v>0.63600000000000001</v>
      </c>
      <c r="J5" s="97">
        <f>Calculs!J$4</f>
        <v>0.35699999999999998</v>
      </c>
      <c r="K5" s="97">
        <f>Calculs!K$4</f>
        <v>1395</v>
      </c>
      <c r="L5" s="98">
        <f>Calculs!L$4</f>
        <v>0.42699999999999999</v>
      </c>
    </row>
    <row r="6" spans="1:12" x14ac:dyDescent="0.2">
      <c r="A6" s="95" t="s">
        <v>60</v>
      </c>
      <c r="B6" s="96"/>
      <c r="C6" s="97"/>
      <c r="D6" s="97"/>
      <c r="E6" s="97"/>
      <c r="F6" s="97"/>
      <c r="G6" s="97" t="s">
        <v>27</v>
      </c>
      <c r="H6" s="97"/>
      <c r="I6" s="97">
        <f>Calculs!I$5</f>
        <v>0.66500000000000004</v>
      </c>
      <c r="J6" s="97">
        <f>Calculs!J$5</f>
        <v>0.374</v>
      </c>
      <c r="K6" s="97">
        <f>Calculs!K$5</f>
        <v>1457</v>
      </c>
      <c r="L6" s="98">
        <f>Calculs!L$5</f>
        <v>0.44700000000000001</v>
      </c>
    </row>
    <row r="7" spans="1:12" x14ac:dyDescent="0.2">
      <c r="A7" s="95">
        <v>3</v>
      </c>
      <c r="B7" s="100" t="str">
        <f>IF(A4=0,"",IF(A3=A7,IF(A4&lt;=5000,A4*I3,IF(A4&gt;20000,A4*L3,((A4*J3)+K3))),""))</f>
        <v/>
      </c>
      <c r="C7" s="97"/>
      <c r="D7" s="100" t="str">
        <f>IF(A4=0,"",IF(A3=A7,IF(A4&lt;=5000,I3&amp;" )",IF(A4&gt;20000,L3&amp;" )",J3&amp;" ) + "&amp;FIXED(K3,0))),""))</f>
        <v/>
      </c>
      <c r="E7" s="100"/>
      <c r="F7" s="97"/>
      <c r="G7" s="97" t="s">
        <v>88</v>
      </c>
      <c r="H7" s="97"/>
      <c r="I7" s="97">
        <f>Calculs!I$6</f>
        <v>0.69699999999999995</v>
      </c>
      <c r="J7" s="97">
        <f>Calculs!J$6</f>
        <v>0.39400000000000002</v>
      </c>
      <c r="K7" s="97">
        <f>Calculs!K$6</f>
        <v>1515</v>
      </c>
      <c r="L7" s="98">
        <f>Calculs!L$6</f>
        <v>0.47</v>
      </c>
    </row>
    <row r="8" spans="1:12" x14ac:dyDescent="0.2">
      <c r="A8" s="95">
        <v>4</v>
      </c>
      <c r="B8" s="100" t="str">
        <f>IF(A4=0,"",IF(A3=A8,IF(A4&lt;=5000,A4*I4,IF(A4&gt;20000,A4*L4,((A4*J4)+K4))),""))</f>
        <v/>
      </c>
      <c r="C8" s="97"/>
      <c r="D8" s="100" t="str">
        <f>IF(A4=0,"",IF(A3=A8,IF(A4&lt;=5000,I4&amp;" )",IF(A4&gt;20000,L4&amp;" )",J4&amp;" ) + "&amp;FIXED(K4,0))),""))</f>
        <v/>
      </c>
      <c r="E8" s="97"/>
      <c r="F8" s="97"/>
      <c r="G8" s="97"/>
      <c r="H8" s="97"/>
      <c r="I8" s="97"/>
      <c r="J8" s="97"/>
      <c r="K8" s="97"/>
      <c r="L8" s="98"/>
    </row>
    <row r="9" spans="1:12" x14ac:dyDescent="0.2">
      <c r="A9" s="95">
        <v>5</v>
      </c>
      <c r="B9" s="100" t="str">
        <f>IF(A4=0,"",IF(A3=A9,IF(A4&lt;=5000,A4*I5,IF(A4&gt;20000,A4*L5,((A4*J5)+K5))),""))</f>
        <v/>
      </c>
      <c r="C9" s="97"/>
      <c r="D9" s="100" t="str">
        <f>IF(A4=0,"",IF(A3=A9,IF(A4&lt;=5000,I5&amp;" )",IF(A4&gt;20000,L5&amp;" )",J5&amp;" ) + "&amp;FIXED(K5,0))),""))</f>
        <v/>
      </c>
      <c r="E9" s="97"/>
      <c r="F9" s="97"/>
      <c r="G9" s="97"/>
      <c r="H9" s="97"/>
      <c r="I9" s="97"/>
      <c r="J9" s="97"/>
      <c r="K9" s="97"/>
      <c r="L9" s="98"/>
    </row>
    <row r="10" spans="1:12" x14ac:dyDescent="0.2">
      <c r="A10" s="95">
        <v>6</v>
      </c>
      <c r="B10" s="100" t="str">
        <f>IF(A4=0,"",IF(A3=A10,IF(A4&lt;=5000,A4*I6,IF(A4&gt;20000,A4*L6,((A4*J6)+K6))),""))</f>
        <v/>
      </c>
      <c r="C10" s="97"/>
      <c r="D10" s="100" t="str">
        <f>IF(A4=0,"",IF(A3=A10,IF(A4&lt;=5000,I6&amp;" )",IF(A4&gt;20000,L6&amp;" )",J6&amp;" ) + "&amp;FIXED(K6,0))),""))</f>
        <v/>
      </c>
      <c r="E10" s="97"/>
      <c r="F10" s="97"/>
      <c r="G10" s="97"/>
      <c r="H10" s="97"/>
      <c r="I10" s="97"/>
      <c r="J10" s="97"/>
      <c r="K10" s="97"/>
      <c r="L10" s="98"/>
    </row>
    <row r="11" spans="1:12" x14ac:dyDescent="0.2">
      <c r="A11" s="95">
        <v>7</v>
      </c>
      <c r="B11" s="100" t="str">
        <f>IF(A4=0,"",IF(A3=A11,IF(A4&lt;=5000,A4*I7,IF(A4&gt;20000,A4*L7,((A4*J7)+K7))),""))</f>
        <v/>
      </c>
      <c r="C11" s="97"/>
      <c r="D11" s="100" t="str">
        <f>IF(A4=0,"",IF(A3=A11,IF(A4&lt;=5000,I7&amp;" )",IF(A4&gt;20000,L7&amp;" )",J7&amp;" ) + "&amp;FIXED(K7,0))),""))</f>
        <v/>
      </c>
      <c r="E11" s="97"/>
      <c r="F11" s="97"/>
      <c r="G11" s="97"/>
      <c r="H11" s="97"/>
      <c r="I11" s="97"/>
      <c r="J11" s="97"/>
      <c r="K11" s="97"/>
      <c r="L11" s="98"/>
    </row>
    <row r="12" spans="1:12" x14ac:dyDescent="0.2">
      <c r="A12" s="95"/>
      <c r="B12" s="100" t="str">
        <f>IF(A4=0,"",IF(A3=A12,IF(A4&lt;=5000,A4*I8,IF(A4&gt;20000,A4*L8,((A4*J8)+K8))),""))</f>
        <v/>
      </c>
      <c r="C12" s="97"/>
      <c r="D12" s="100" t="str">
        <f>IF(A4=0,"",IF(A3=A12,IF(A4&lt;=5000,I8&amp;" )",IF(A4&gt;20000,L8&amp;" )",J8&amp;" ) + "&amp;FIXED(K8,0))),""))</f>
        <v/>
      </c>
      <c r="E12" s="97"/>
      <c r="F12" s="97"/>
      <c r="G12" s="97"/>
      <c r="H12" s="97"/>
      <c r="I12" s="97"/>
      <c r="J12" s="97"/>
      <c r="K12" s="97"/>
      <c r="L12" s="98"/>
    </row>
    <row r="13" spans="1:12" x14ac:dyDescent="0.2">
      <c r="A13" s="95"/>
      <c r="B13" s="100" t="str">
        <f>IF(A4=0,"",IF(A3=A13,IF(A4&lt;=5000,A4*I9,IF(A4&gt;20000,A4*L9,((A4*J9)+K9))),""))</f>
        <v/>
      </c>
      <c r="C13" s="97"/>
      <c r="D13" s="100" t="str">
        <f>IF(A4=0,"",IF(A3=A13,IF(A4&lt;=5000,I9&amp;" )",IF(A4&gt;20000,L9&amp;" )",J9&amp;" ) + "&amp;FIXED(K9,0))),""))</f>
        <v/>
      </c>
      <c r="E13" s="97"/>
      <c r="F13" s="97"/>
      <c r="G13" s="97"/>
      <c r="H13" s="97"/>
      <c r="I13" s="97"/>
      <c r="J13" s="97"/>
      <c r="K13" s="97"/>
      <c r="L13" s="98"/>
    </row>
    <row r="14" spans="1:12" x14ac:dyDescent="0.2">
      <c r="A14" s="95"/>
      <c r="B14" s="100" t="str">
        <f>IF(A4=0,"",IF(A3=A14,IF(A4&lt;=5000,A4*I10,IF(A4&gt;20000,A4*L10,((A4*J10)+K10))),""))</f>
        <v/>
      </c>
      <c r="C14" s="97"/>
      <c r="D14" s="100" t="str">
        <f>IF(A4=0,"",IF(A3=A14,IF(A4&lt;=5000,I10&amp;" )",IF(A4&gt;20000,L10&amp;" )",J10&amp;" ) + "&amp;FIXED(K10,0))),""))</f>
        <v/>
      </c>
      <c r="E14" s="97"/>
      <c r="F14" s="97"/>
      <c r="G14" s="97"/>
      <c r="H14" s="97"/>
      <c r="I14" s="97"/>
      <c r="J14" s="97"/>
      <c r="K14" s="97"/>
      <c r="L14" s="98"/>
    </row>
    <row r="15" spans="1:12" x14ac:dyDescent="0.2">
      <c r="A15" s="95"/>
      <c r="B15" s="100" t="str">
        <f>IF(A4=0,"",IF(A3=A15,IF(A4&lt;=5000,A4*I11,IF(A4&gt;20000,A4*L11,((A4*J11)+K11))),""))</f>
        <v/>
      </c>
      <c r="C15" s="97"/>
      <c r="D15" s="100" t="str">
        <f>IF(A4=0,"",IF(A3=A15,IF(A4&lt;=5000,I11&amp;" )",IF(A4&gt;20000,L11&amp;" )",J11&amp;" ) + "&amp;FIXED(K11,0))),""))</f>
        <v/>
      </c>
      <c r="E15" s="97"/>
      <c r="F15" s="97"/>
      <c r="G15" s="97"/>
      <c r="H15" s="97"/>
      <c r="I15" s="97"/>
      <c r="J15" s="97"/>
      <c r="K15" s="97"/>
      <c r="L15" s="98"/>
    </row>
    <row r="16" spans="1:12" x14ac:dyDescent="0.2">
      <c r="A16" s="95"/>
      <c r="B16" s="100" t="str">
        <f>IF(A4=0,"",IF(A3=A16,IF(A4&lt;=5000,A4*I12,IF(A4&gt;20000,A4*L12,((A4*J12)+K12))),""))</f>
        <v/>
      </c>
      <c r="C16" s="97"/>
      <c r="D16" s="100" t="str">
        <f>IF(A4=0,"",IF(A3=A16,IF(A4&lt;=5000,I12&amp;" )",IF(A4&gt;20000,L12&amp;" )",J12&amp;" ) + "&amp;FIXED(K12,0))),""))</f>
        <v/>
      </c>
      <c r="E16" s="97"/>
      <c r="F16" s="97"/>
      <c r="G16" s="97"/>
      <c r="H16" s="97"/>
      <c r="I16" s="97"/>
      <c r="J16" s="97"/>
      <c r="K16" s="97"/>
      <c r="L16" s="98"/>
    </row>
    <row r="17" spans="1:12" x14ac:dyDescent="0.2">
      <c r="A17" s="95"/>
      <c r="B17" s="100" t="str">
        <f>IF(A4=0,"",IF(A3=A17,IF(A4&lt;=5000,A4*I13,IF(A4&gt;20000,A4*L13,((A4*J13)+K13))),""))</f>
        <v/>
      </c>
      <c r="C17" s="97"/>
      <c r="D17" s="100" t="str">
        <f>IF(A4=0,"",IF(A3=A17,IF(A4&lt;=5000,I13&amp;" )",IF(A4&gt;20000,L13&amp;" )",J13&amp;" ) + "&amp;FIXED(K13,0))),""))</f>
        <v/>
      </c>
      <c r="E17" s="97"/>
      <c r="F17" s="97"/>
      <c r="G17" s="97"/>
      <c r="H17" s="97"/>
      <c r="I17" s="97"/>
      <c r="J17" s="97"/>
      <c r="K17" s="97"/>
      <c r="L17" s="98"/>
    </row>
    <row r="18" spans="1:12" x14ac:dyDescent="0.2">
      <c r="A18" s="95"/>
      <c r="B18" s="100">
        <f>ROUND(SUM(B7:B17),0)</f>
        <v>0</v>
      </c>
      <c r="C18" s="97"/>
      <c r="D18" s="101" t="str">
        <f>D7 &amp; D8 &amp; D9 &amp; D10 &amp; D11 &amp; D12 &amp; D13 &amp; D14 &amp; D15 &amp; D16 &amp; D17</f>
        <v/>
      </c>
      <c r="E18" s="97"/>
      <c r="F18" s="97"/>
      <c r="G18" s="97"/>
      <c r="H18" s="97"/>
      <c r="I18" s="97"/>
      <c r="J18" s="97"/>
      <c r="K18" s="97"/>
      <c r="L18" s="98"/>
    </row>
    <row r="19" spans="1:12" x14ac:dyDescent="0.2">
      <c r="A19" s="95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8"/>
    </row>
    <row r="20" spans="1:12" x14ac:dyDescent="0.2">
      <c r="A20" s="95" t="s">
        <v>69</v>
      </c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1:12" x14ac:dyDescent="0.2">
      <c r="A21" s="99">
        <f>SOCIETES!G17</f>
        <v>0</v>
      </c>
      <c r="B21" s="96" t="s">
        <v>17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x14ac:dyDescent="0.2">
      <c r="A22" s="95" t="s">
        <v>60</v>
      </c>
      <c r="B22" s="97"/>
      <c r="C22" s="97"/>
      <c r="D22" s="101"/>
      <c r="E22" s="97"/>
      <c r="F22" s="97"/>
      <c r="G22" s="102" t="s">
        <v>60</v>
      </c>
      <c r="H22" s="97">
        <v>1</v>
      </c>
      <c r="I22" s="97"/>
      <c r="J22" s="97"/>
      <c r="K22" s="97"/>
      <c r="L22" s="98"/>
    </row>
    <row r="23" spans="1:12" ht="14.25" x14ac:dyDescent="0.2">
      <c r="A23" s="103" t="s">
        <v>18</v>
      </c>
      <c r="B23" s="96" t="str">
        <f>IF(H22=2,IF($A21&lt;=3000,A21*I23,IF($A21&gt;6000,A21*L23,(A21*J23)+K23)),"")</f>
        <v/>
      </c>
      <c r="C23" s="97"/>
      <c r="D23" s="96" t="str">
        <f>IF(H22=2,IF($A21&lt;=3000,I23&amp;" )",IF($A21&gt;6000,L23&amp;" )",J23&amp;" ) + "&amp;K23)),"")</f>
        <v/>
      </c>
      <c r="E23" s="97"/>
      <c r="F23" s="97"/>
      <c r="G23" s="104" t="s">
        <v>36</v>
      </c>
      <c r="H23" s="97"/>
      <c r="I23" s="97">
        <f>Calculs!I$33</f>
        <v>0.315</v>
      </c>
      <c r="J23" s="97">
        <f>Calculs!J$33</f>
        <v>7.9000000000000001E-2</v>
      </c>
      <c r="K23" s="97">
        <f>Calculs!K$33</f>
        <v>711</v>
      </c>
      <c r="L23" s="98">
        <f>Calculs!L$33</f>
        <v>0.19800000000000001</v>
      </c>
    </row>
    <row r="24" spans="1:12" x14ac:dyDescent="0.2">
      <c r="A24" s="95" t="s">
        <v>56</v>
      </c>
      <c r="B24" s="96" t="str">
        <f>IF(H22=3,IF($A21&lt;=3000,A21*I24,IF($A21&gt;6000,A21*L24,(A21*J24)+K24)),"")</f>
        <v/>
      </c>
      <c r="C24" s="97"/>
      <c r="D24" s="96" t="str">
        <f>IF(H22=3,IF($A21&lt;=3000,I24&amp;" )",IF($A21&gt;6000,L24&amp;" )",J24&amp;" ) + "&amp;K24)),"")</f>
        <v/>
      </c>
      <c r="E24" s="97"/>
      <c r="F24" s="97"/>
      <c r="G24" s="96" t="s">
        <v>56</v>
      </c>
      <c r="H24" s="97"/>
      <c r="I24" s="97">
        <f>Calculs!I$34</f>
        <v>0.39500000000000002</v>
      </c>
      <c r="J24" s="97">
        <f>Calculs!J$34</f>
        <v>9.9000000000000005E-2</v>
      </c>
      <c r="K24" s="97">
        <f>Calculs!K$34</f>
        <v>891</v>
      </c>
      <c r="L24" s="98">
        <f>Calculs!L$34</f>
        <v>0.248</v>
      </c>
    </row>
    <row r="25" spans="1:12" x14ac:dyDescent="0.2">
      <c r="A25" s="95" t="s">
        <v>20</v>
      </c>
      <c r="B25" s="96" t="str">
        <f>IF(H22=4,IF($A21&lt;=3000,A21*I25,IF($A21&gt;6000,A21*L25,(A21*J25)+K25)),"")</f>
        <v/>
      </c>
      <c r="C25" s="97"/>
      <c r="D25" s="96" t="str">
        <f>IF(H22=4,IF($A21&lt;=3000,I25&amp;" )",IF($A21&gt;6000,L25&amp;" )",J25&amp;" ) + "&amp;FIXED(K25,0))),"")</f>
        <v/>
      </c>
      <c r="E25" s="97"/>
      <c r="F25" s="97"/>
      <c r="G25" s="96" t="s">
        <v>20</v>
      </c>
      <c r="H25" s="97"/>
      <c r="I25" s="97">
        <f>Calculs!I$35</f>
        <v>0.46800000000000003</v>
      </c>
      <c r="J25" s="97">
        <f>Calculs!J$35</f>
        <v>8.2000000000000003E-2</v>
      </c>
      <c r="K25" s="97">
        <f>Calculs!K$35</f>
        <v>1158</v>
      </c>
      <c r="L25" s="98">
        <f>Calculs!L$35</f>
        <v>0.27500000000000002</v>
      </c>
    </row>
    <row r="26" spans="1:12" x14ac:dyDescent="0.2">
      <c r="A26" s="95" t="s">
        <v>21</v>
      </c>
      <c r="B26" s="96" t="str">
        <f>IF(H22=5,IF($A21&lt;=3000,A21*I26,IF($A21&gt;6000,A21*L26,(A21*J26)+K26)),"")</f>
        <v/>
      </c>
      <c r="C26" s="97"/>
      <c r="D26" s="96" t="str">
        <f>IF(H22=5,IF($A21&lt;=3000,I26&amp;" )",IF($A21&gt;6000,L26&amp;" )",J26&amp;" ) + "&amp;FIXED(K26,0))),"")</f>
        <v/>
      </c>
      <c r="E26" s="97"/>
      <c r="F26" s="97"/>
      <c r="G26" s="96" t="s">
        <v>21</v>
      </c>
      <c r="H26" s="97"/>
      <c r="I26" s="97">
        <f>Calculs!I$36</f>
        <v>0.60599999999999998</v>
      </c>
      <c r="J26" s="97">
        <f>Calculs!J$36</f>
        <v>7.9000000000000001E-2</v>
      </c>
      <c r="K26" s="97">
        <f>Calculs!K$36</f>
        <v>1583</v>
      </c>
      <c r="L26" s="98">
        <f>Calculs!L$36</f>
        <v>0.34300000000000003</v>
      </c>
    </row>
    <row r="27" spans="1:12" x14ac:dyDescent="0.2">
      <c r="A27" s="95"/>
      <c r="B27" s="96">
        <f>ROUND(SUM(B23:B26),0)</f>
        <v>0</v>
      </c>
      <c r="C27" s="97"/>
      <c r="D27" s="97" t="str">
        <f>D23 &amp; D24 &amp; D25 &amp; D26</f>
        <v/>
      </c>
      <c r="E27" s="97"/>
      <c r="F27" s="97"/>
      <c r="G27" s="97"/>
      <c r="H27" s="97"/>
      <c r="I27" s="97"/>
      <c r="J27" s="97"/>
      <c r="K27" s="97"/>
      <c r="L27" s="98"/>
    </row>
    <row r="28" spans="1:12" x14ac:dyDescent="0.2">
      <c r="A28" s="95"/>
      <c r="B28" s="105"/>
      <c r="C28" s="106"/>
      <c r="D28" s="106"/>
      <c r="E28" s="97"/>
      <c r="F28" s="97"/>
      <c r="G28" s="97"/>
      <c r="H28" s="97"/>
      <c r="I28" s="97"/>
      <c r="J28" s="97"/>
      <c r="K28" s="97"/>
      <c r="L28" s="98"/>
    </row>
    <row r="29" spans="1:12" x14ac:dyDescent="0.2">
      <c r="A29" s="107"/>
      <c r="B29" s="97">
        <f>IF(AND(B18&lt;&gt;0,B27&lt;&gt;0),"N/C",IF(B31=TRUE,(B18+B27)*1.2,B18+B27))</f>
        <v>0</v>
      </c>
      <c r="C29" s="97"/>
      <c r="D29" s="97" t="str">
        <f>IF(AND(D18&lt;&gt;"",D27&lt;&gt;""),"N/C",IF(D18&lt;&gt;"",D18,D27))</f>
        <v/>
      </c>
      <c r="E29" s="97"/>
      <c r="F29" s="97"/>
      <c r="G29" s="97" t="str">
        <f>IF(AND(B18&lt;&gt;0,B27&lt;&gt;0),"Ne compléter que la puissance de la Voiture OU de la Moto","")</f>
        <v/>
      </c>
      <c r="H29" s="97"/>
      <c r="I29" s="97"/>
      <c r="J29" s="97"/>
      <c r="K29" s="97"/>
      <c r="L29" s="98"/>
    </row>
    <row r="30" spans="1:12" x14ac:dyDescent="0.2">
      <c r="A30" s="10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8"/>
    </row>
    <row r="31" spans="1:12" x14ac:dyDescent="0.2">
      <c r="A31" s="111" t="s">
        <v>84</v>
      </c>
      <c r="B31" s="97" t="b">
        <v>0</v>
      </c>
      <c r="C31" s="97" t="str">
        <f>IF(B31=TRUE,IF(AND(H2&gt;1,H22=1),IF(AND(A4&gt;5000,A4&lt;=20000),"[ ",""),IF(AND(H2=1,H22=2),IF(AND(A21&gt;2000,A21&lt;=5000),"[ ",""),IF(AND(H2=1,H22&gt;2),IF(AND(A21&gt;3000,A21&lt;=6000),"[ ",""),""))),"")</f>
        <v/>
      </c>
      <c r="D31" s="97" t="str">
        <f>IF(B31=TRUE,IF(AND(H2&gt;1,H22=1),IF(AND(A4&gt;5000,A4&lt;=20000)," ] x 120 %"," x 120 %"),IF(AND(H2=1,H22=2),IF(AND(A21&gt;2000,A21&lt;=5000)," ] x 120 %"," x 120 %"),IF(AND(H2=1,H22&gt;2),IF(AND(A21&gt;3000,A21&lt;=6000)," ] x 120 %","")," x 120 %"))),"")</f>
        <v/>
      </c>
      <c r="E31" s="97"/>
      <c r="F31" s="97"/>
      <c r="G31" s="97"/>
      <c r="H31" s="97"/>
      <c r="I31" s="97"/>
      <c r="J31" s="97"/>
      <c r="K31" s="97"/>
      <c r="L31" s="98"/>
    </row>
    <row r="32" spans="1:12" x14ac:dyDescent="0.2">
      <c r="A32" s="112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 x14ac:dyDescent="0.2">
      <c r="A33" s="90" t="s">
        <v>70</v>
      </c>
      <c r="B33" s="91"/>
      <c r="C33" s="92"/>
      <c r="D33" s="92"/>
      <c r="E33" s="92"/>
      <c r="F33" s="92"/>
      <c r="G33" s="93" t="s">
        <v>60</v>
      </c>
      <c r="H33" s="92">
        <v>1</v>
      </c>
      <c r="I33" s="92">
        <v>-5000</v>
      </c>
      <c r="J33" s="163" t="s">
        <v>28</v>
      </c>
      <c r="K33" s="163"/>
      <c r="L33" s="94">
        <v>20000</v>
      </c>
    </row>
    <row r="34" spans="1:12" x14ac:dyDescent="0.2">
      <c r="A34" s="95">
        <f>1+H33</f>
        <v>2</v>
      </c>
      <c r="B34" s="96" t="s">
        <v>9</v>
      </c>
      <c r="C34" s="97"/>
      <c r="D34" s="97"/>
      <c r="E34" s="97"/>
      <c r="F34" s="97"/>
      <c r="G34" s="97" t="s">
        <v>24</v>
      </c>
      <c r="H34" s="97"/>
      <c r="I34" s="97">
        <f>Calculs!I$2</f>
        <v>0.52900000000000003</v>
      </c>
      <c r="J34" s="97">
        <f>Calculs!J$2</f>
        <v>0.316</v>
      </c>
      <c r="K34" s="97">
        <f>Calculs!K$2</f>
        <v>1065</v>
      </c>
      <c r="L34" s="98">
        <f>Calculs!L$2</f>
        <v>0.37</v>
      </c>
    </row>
    <row r="35" spans="1:12" x14ac:dyDescent="0.2">
      <c r="A35" s="99">
        <f>SOCIETES!G37</f>
        <v>0</v>
      </c>
      <c r="B35" s="96" t="s">
        <v>10</v>
      </c>
      <c r="C35" s="97"/>
      <c r="D35" s="97"/>
      <c r="E35" s="97"/>
      <c r="F35" s="97"/>
      <c r="G35" s="97" t="s">
        <v>25</v>
      </c>
      <c r="H35" s="97"/>
      <c r="I35" s="97">
        <f>Calculs!I$3</f>
        <v>0.60599999999999998</v>
      </c>
      <c r="J35" s="97">
        <f>Calculs!J$3</f>
        <v>0.34</v>
      </c>
      <c r="K35" s="97">
        <f>Calculs!K$3</f>
        <v>1330</v>
      </c>
      <c r="L35" s="98">
        <f>Calculs!L$3</f>
        <v>0.40699999999999997</v>
      </c>
    </row>
    <row r="36" spans="1:12" x14ac:dyDescent="0.2">
      <c r="A36" s="95"/>
      <c r="B36" s="96"/>
      <c r="C36" s="97"/>
      <c r="D36" s="97"/>
      <c r="E36" s="97"/>
      <c r="F36" s="97"/>
      <c r="G36" s="97" t="s">
        <v>26</v>
      </c>
      <c r="H36" s="97"/>
      <c r="I36" s="97">
        <f>Calculs!I$4</f>
        <v>0.63600000000000001</v>
      </c>
      <c r="J36" s="97">
        <f>Calculs!J$4</f>
        <v>0.35699999999999998</v>
      </c>
      <c r="K36" s="97">
        <f>Calculs!K$4</f>
        <v>1395</v>
      </c>
      <c r="L36" s="98">
        <f>Calculs!L$4</f>
        <v>0.42699999999999999</v>
      </c>
    </row>
    <row r="37" spans="1:12" x14ac:dyDescent="0.2">
      <c r="A37" s="95" t="s">
        <v>60</v>
      </c>
      <c r="B37" s="96"/>
      <c r="C37" s="97"/>
      <c r="D37" s="97"/>
      <c r="E37" s="97"/>
      <c r="F37" s="97"/>
      <c r="G37" s="97" t="s">
        <v>27</v>
      </c>
      <c r="H37" s="97"/>
      <c r="I37" s="97">
        <f>Calculs!I$5</f>
        <v>0.66500000000000004</v>
      </c>
      <c r="J37" s="97">
        <f>Calculs!J$5</f>
        <v>0.374</v>
      </c>
      <c r="K37" s="97">
        <f>Calculs!K$5</f>
        <v>1457</v>
      </c>
      <c r="L37" s="98">
        <f>Calculs!L$5</f>
        <v>0.44700000000000001</v>
      </c>
    </row>
    <row r="38" spans="1:12" x14ac:dyDescent="0.2">
      <c r="A38" s="95">
        <v>3</v>
      </c>
      <c r="B38" s="100" t="str">
        <f>IF(A35=0,"",IF(A34=A38,IF(A35&lt;=5000,A35*I34,IF(A35&gt;20000,A35*L34,((A35*J34)+K34))),""))</f>
        <v/>
      </c>
      <c r="C38" s="97"/>
      <c r="D38" s="100" t="str">
        <f>IF(A35=0,"",IF(A34=A38,IF(A35&lt;=5000,I34&amp;" )",IF(A35&gt;20000,L34&amp;" )",J34&amp;" ) + "&amp;FIXED(K34,0))),""))</f>
        <v/>
      </c>
      <c r="E38" s="100"/>
      <c r="F38" s="97"/>
      <c r="G38" s="97" t="s">
        <v>88</v>
      </c>
      <c r="H38" s="97"/>
      <c r="I38" s="97">
        <f>Calculs!I$6</f>
        <v>0.69699999999999995</v>
      </c>
      <c r="J38" s="97">
        <f>Calculs!J$6</f>
        <v>0.39400000000000002</v>
      </c>
      <c r="K38" s="97">
        <f>Calculs!K$6</f>
        <v>1515</v>
      </c>
      <c r="L38" s="98">
        <f>Calculs!L$6</f>
        <v>0.47</v>
      </c>
    </row>
    <row r="39" spans="1:12" x14ac:dyDescent="0.2">
      <c r="A39" s="95">
        <v>4</v>
      </c>
      <c r="B39" s="100" t="str">
        <f>IF(A35=0,"",IF(A34=A39,IF(A35&lt;=5000,A35*I35,IF(A35&gt;20000,A35*L35,((A35*J35)+K35))),""))</f>
        <v/>
      </c>
      <c r="C39" s="97"/>
      <c r="D39" s="100" t="str">
        <f>IF(A35=0,"",IF(A34=A39,IF(A35&lt;=5000,I35&amp;" )",IF(A35&gt;20000,L35&amp;" )",J35&amp;" ) + "&amp;FIXED(K35,0))),""))</f>
        <v/>
      </c>
      <c r="E39" s="97"/>
      <c r="F39" s="97"/>
      <c r="G39" s="97"/>
      <c r="H39" s="97"/>
      <c r="I39" s="97"/>
      <c r="J39" s="97"/>
      <c r="K39" s="97"/>
      <c r="L39" s="98"/>
    </row>
    <row r="40" spans="1:12" x14ac:dyDescent="0.2">
      <c r="A40" s="95">
        <v>5</v>
      </c>
      <c r="B40" s="100" t="str">
        <f>IF(A35=0,"",IF(A34=A40,IF(A35&lt;=5000,A35*I36,IF(A35&gt;20000,A35*L36,((A35*J36)+K36))),""))</f>
        <v/>
      </c>
      <c r="C40" s="97"/>
      <c r="D40" s="100" t="str">
        <f>IF(A35=0,"",IF(A34=A40,IF(A35&lt;=5000,I36&amp;" )",IF(A35&gt;20000,L36&amp;" )",J36&amp;" ) + "&amp;FIXED(K36,0))),""))</f>
        <v/>
      </c>
      <c r="E40" s="97"/>
      <c r="F40" s="97"/>
      <c r="G40" s="97"/>
      <c r="H40" s="97"/>
      <c r="I40" s="97"/>
      <c r="J40" s="97"/>
      <c r="K40" s="97"/>
      <c r="L40" s="98"/>
    </row>
    <row r="41" spans="1:12" x14ac:dyDescent="0.2">
      <c r="A41" s="95">
        <v>6</v>
      </c>
      <c r="B41" s="100" t="str">
        <f>IF(A35=0,"",IF(A34=A41,IF(A35&lt;=5000,A35*I37,IF(A35&gt;20000,A35*L37,((A35*J37)+K37))),""))</f>
        <v/>
      </c>
      <c r="C41" s="97"/>
      <c r="D41" s="100" t="str">
        <f>IF(A35=0,"",IF(A34=A41,IF(A35&lt;=5000,I37&amp;" )",IF(A35&gt;20000,L37&amp;" )",J37&amp;" ) + "&amp;FIXED(K37,0))),""))</f>
        <v/>
      </c>
      <c r="E41" s="97"/>
      <c r="F41" s="97"/>
      <c r="G41" s="97"/>
      <c r="H41" s="97"/>
      <c r="I41" s="97"/>
      <c r="J41" s="97"/>
      <c r="K41" s="97"/>
      <c r="L41" s="98"/>
    </row>
    <row r="42" spans="1:12" x14ac:dyDescent="0.2">
      <c r="A42" s="95">
        <v>7</v>
      </c>
      <c r="B42" s="100" t="str">
        <f>IF(A35=0,"",IF(A34=A42,IF(A35&lt;=5000,A35*I38,IF(A35&gt;20000,A35*L38,((A35*J38)+K38))),""))</f>
        <v/>
      </c>
      <c r="C42" s="97"/>
      <c r="D42" s="100" t="str">
        <f>IF(A35=0,"",IF(A34=A42,IF(A35&lt;=5000,I38&amp;" )",IF(A35&gt;20000,L38&amp;" )",J38&amp;" ) + "&amp;FIXED(K38,0))),""))</f>
        <v/>
      </c>
      <c r="E42" s="97"/>
      <c r="F42" s="97"/>
      <c r="G42" s="97"/>
      <c r="H42" s="97"/>
      <c r="I42" s="97"/>
      <c r="J42" s="97"/>
      <c r="K42" s="97"/>
      <c r="L42" s="98"/>
    </row>
    <row r="43" spans="1:12" x14ac:dyDescent="0.2">
      <c r="A43" s="95"/>
      <c r="B43" s="100" t="str">
        <f>IF(A35=0,"",IF(A34=A43,IF(A35&lt;=5000,A35*I39,IF(A35&gt;20000,A35*L39,((A35*J39)+K39))),""))</f>
        <v/>
      </c>
      <c r="C43" s="97"/>
      <c r="D43" s="100" t="str">
        <f>IF(A35=0,"",IF(A34=A43,IF(A35&lt;=5000,I39&amp;" )",IF(A35&gt;20000,L39&amp;" )",J39&amp;" ) + "&amp;FIXED(K39,0))),""))</f>
        <v/>
      </c>
      <c r="E43" s="97"/>
      <c r="F43" s="97"/>
      <c r="G43" s="97"/>
      <c r="H43" s="97"/>
      <c r="I43" s="97"/>
      <c r="J43" s="97"/>
      <c r="K43" s="97"/>
      <c r="L43" s="98"/>
    </row>
    <row r="44" spans="1:12" x14ac:dyDescent="0.2">
      <c r="A44" s="95"/>
      <c r="B44" s="100" t="str">
        <f>IF(A35=0,"",IF(A34=A44,IF(A35&lt;=5000,A35*I40,IF(A35&gt;20000,A35*L40,((A35*J40)+K40))),""))</f>
        <v/>
      </c>
      <c r="C44" s="97"/>
      <c r="D44" s="100" t="str">
        <f>IF(A35=0,"",IF(A34=A44,IF(A35&lt;=5000,I40&amp;" )",IF(A35&gt;20000,L40&amp;" )",J40&amp;" ) + "&amp;FIXED(K40,0))),""))</f>
        <v/>
      </c>
      <c r="E44" s="97"/>
      <c r="F44" s="97"/>
      <c r="G44" s="97"/>
      <c r="H44" s="97"/>
      <c r="I44" s="97"/>
      <c r="J44" s="97"/>
      <c r="K44" s="97"/>
      <c r="L44" s="98"/>
    </row>
    <row r="45" spans="1:12" x14ac:dyDescent="0.2">
      <c r="A45" s="95"/>
      <c r="B45" s="100" t="str">
        <f>IF(A35=0,"",IF(A34=A45,IF(A35&lt;=5000,A35*I41,IF(A35&gt;20000,A35*L41,((A35*J41)+K41))),""))</f>
        <v/>
      </c>
      <c r="C45" s="97"/>
      <c r="D45" s="100" t="str">
        <f>IF(A35=0,"",IF(A34=A45,IF(A35&lt;=5000,I41&amp;" )",IF(A35&gt;20000,L41&amp;" )",J41&amp;" ) + "&amp;FIXED(K41,0))),""))</f>
        <v/>
      </c>
      <c r="E45" s="97"/>
      <c r="F45" s="97"/>
      <c r="G45" s="97"/>
      <c r="H45" s="97"/>
      <c r="I45" s="97"/>
      <c r="J45" s="97"/>
      <c r="K45" s="97"/>
      <c r="L45" s="98"/>
    </row>
    <row r="46" spans="1:12" x14ac:dyDescent="0.2">
      <c r="A46" s="95"/>
      <c r="B46" s="100" t="str">
        <f>IF(A35=0,"",IF(A34=A46,IF(A35&lt;=5000,A35*I42,IF(A35&gt;20000,A35*L42,((A35*J42)+K42))),""))</f>
        <v/>
      </c>
      <c r="C46" s="97"/>
      <c r="D46" s="100" t="str">
        <f>IF(A35=0,"",IF(A34=A46,IF(A35&lt;=5000,I42&amp;" )",IF(A35&gt;20000,L42&amp;" )",J42&amp;" ) + "&amp;FIXED(K42,0))),""))</f>
        <v/>
      </c>
      <c r="E46" s="97"/>
      <c r="F46" s="97"/>
      <c r="G46" s="97"/>
      <c r="H46" s="97"/>
      <c r="I46" s="97"/>
      <c r="J46" s="97"/>
      <c r="K46" s="97"/>
      <c r="L46" s="98"/>
    </row>
    <row r="47" spans="1:12" x14ac:dyDescent="0.2">
      <c r="A47" s="95"/>
      <c r="B47" s="100" t="str">
        <f>IF(A35=0,"",IF(A34=A47,IF(A35&lt;=5000,A35*I43,IF(A35&gt;20000,A35*L43,((A35*J43)+K43))),""))</f>
        <v/>
      </c>
      <c r="C47" s="97"/>
      <c r="D47" s="100" t="str">
        <f>IF(A35=0,"",IF(A34=A47,IF(A35&lt;=5000,I43&amp;" )",IF(A35&gt;20000,L43&amp;" )",J43&amp;" ) + "&amp;FIXED(K43,0))),""))</f>
        <v/>
      </c>
      <c r="E47" s="97"/>
      <c r="F47" s="97"/>
      <c r="G47" s="97"/>
      <c r="H47" s="97"/>
      <c r="I47" s="97"/>
      <c r="J47" s="97"/>
      <c r="K47" s="97"/>
      <c r="L47" s="98"/>
    </row>
    <row r="48" spans="1:12" x14ac:dyDescent="0.2">
      <c r="A48" s="95"/>
      <c r="B48" s="100" t="str">
        <f>IF(A35=0,"",IF(A34=A48,IF(A35&lt;=5000,A35*I44,IF(A35&gt;20000,A35*L44,((A35*J44)+K44))),""))</f>
        <v/>
      </c>
      <c r="C48" s="97"/>
      <c r="D48" s="100" t="str">
        <f>IF(A35=0,"",IF(A34=A48,IF(A35&lt;=5000,I44&amp;" )",IF(A35&gt;20000,L44&amp;" )",J44&amp;" ) + "&amp;FIXED(K44,0))),""))</f>
        <v/>
      </c>
      <c r="E48" s="97"/>
      <c r="F48" s="97"/>
      <c r="G48" s="97"/>
      <c r="H48" s="97"/>
      <c r="I48" s="97"/>
      <c r="J48" s="97"/>
      <c r="K48" s="97"/>
      <c r="L48" s="98"/>
    </row>
    <row r="49" spans="1:12" x14ac:dyDescent="0.2">
      <c r="A49" s="95"/>
      <c r="B49" s="100">
        <f>ROUND(SUM(B38:B48),0)</f>
        <v>0</v>
      </c>
      <c r="C49" s="97"/>
      <c r="D49" s="101" t="str">
        <f>D38 &amp; D39 &amp; D40 &amp; D41 &amp; D42 &amp; D43 &amp; D44 &amp; D45 &amp; D46 &amp; D47 &amp; D48</f>
        <v/>
      </c>
      <c r="E49" s="97"/>
      <c r="F49" s="97"/>
      <c r="G49" s="97"/>
      <c r="H49" s="97"/>
      <c r="I49" s="97"/>
      <c r="J49" s="97"/>
      <c r="K49" s="97"/>
      <c r="L49" s="98"/>
    </row>
    <row r="50" spans="1:12" x14ac:dyDescent="0.2">
      <c r="A50" s="95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8"/>
    </row>
    <row r="51" spans="1:12" x14ac:dyDescent="0.2">
      <c r="A51" s="95" t="s">
        <v>71</v>
      </c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8"/>
    </row>
    <row r="52" spans="1:12" x14ac:dyDescent="0.2">
      <c r="A52" s="99">
        <f>A35</f>
        <v>0</v>
      </c>
      <c r="B52" s="96" t="s">
        <v>17</v>
      </c>
      <c r="C52" s="97"/>
      <c r="D52" s="97"/>
      <c r="E52" s="97"/>
      <c r="F52" s="97"/>
      <c r="G52" s="97"/>
      <c r="H52" s="97"/>
      <c r="I52" s="97"/>
      <c r="J52" s="97"/>
      <c r="K52" s="97"/>
      <c r="L52" s="98"/>
    </row>
    <row r="53" spans="1:12" x14ac:dyDescent="0.2">
      <c r="A53" s="95" t="s">
        <v>60</v>
      </c>
      <c r="B53" s="97"/>
      <c r="C53" s="97"/>
      <c r="D53" s="101"/>
      <c r="E53" s="97"/>
      <c r="F53" s="97"/>
      <c r="G53" s="102" t="s">
        <v>60</v>
      </c>
      <c r="H53" s="97">
        <v>1</v>
      </c>
      <c r="I53" s="97"/>
      <c r="J53" s="97"/>
      <c r="K53" s="97"/>
      <c r="L53" s="98"/>
    </row>
    <row r="54" spans="1:12" ht="14.25" x14ac:dyDescent="0.2">
      <c r="A54" s="103" t="s">
        <v>18</v>
      </c>
      <c r="B54" s="96" t="str">
        <f>IF(H53=2,IF($A52&lt;=3000,A52*I54,IF($A52&gt;6000,A52*L54,(A52*J54)+K54)),"")</f>
        <v/>
      </c>
      <c r="C54" s="97"/>
      <c r="D54" s="96" t="str">
        <f>IF(H53=2,IF($A52&lt;=3000,I54&amp;" )",IF($A52&gt;6000,L54&amp;" )",J54&amp;" ) + "&amp;K54)),"")</f>
        <v/>
      </c>
      <c r="E54" s="97"/>
      <c r="F54" s="97"/>
      <c r="G54" s="104" t="s">
        <v>36</v>
      </c>
      <c r="H54" s="97"/>
      <c r="I54" s="97">
        <f>Calculs!I$33</f>
        <v>0.315</v>
      </c>
      <c r="J54" s="97">
        <f>Calculs!J$33</f>
        <v>7.9000000000000001E-2</v>
      </c>
      <c r="K54" s="97">
        <f>Calculs!K$33</f>
        <v>711</v>
      </c>
      <c r="L54" s="98">
        <f>Calculs!L$33</f>
        <v>0.19800000000000001</v>
      </c>
    </row>
    <row r="55" spans="1:12" x14ac:dyDescent="0.2">
      <c r="A55" s="95" t="s">
        <v>56</v>
      </c>
      <c r="B55" s="96" t="str">
        <f>IF(H53=3,IF($A52&lt;=3000,A52*I55,IF($A52&gt;6000,A52*L55,(A52*J55)+K55)),"")</f>
        <v/>
      </c>
      <c r="C55" s="97"/>
      <c r="D55" s="96" t="str">
        <f>IF(H53=3,IF($A52&lt;=3000,I55&amp;" )",IF($A52&gt;6000,L55&amp;" )",J55&amp;" ) + "&amp;K55)),"")</f>
        <v/>
      </c>
      <c r="E55" s="97"/>
      <c r="F55" s="97"/>
      <c r="G55" s="96" t="s">
        <v>56</v>
      </c>
      <c r="H55" s="97"/>
      <c r="I55" s="97">
        <f>Calculs!I$34</f>
        <v>0.39500000000000002</v>
      </c>
      <c r="J55" s="97">
        <f>Calculs!J$34</f>
        <v>9.9000000000000005E-2</v>
      </c>
      <c r="K55" s="97">
        <f>Calculs!K$34</f>
        <v>891</v>
      </c>
      <c r="L55" s="98">
        <f>Calculs!L$34</f>
        <v>0.248</v>
      </c>
    </row>
    <row r="56" spans="1:12" x14ac:dyDescent="0.2">
      <c r="A56" s="95" t="s">
        <v>20</v>
      </c>
      <c r="B56" s="96" t="str">
        <f>IF(H53=4,IF($A52&lt;=3000,A52*I56,IF($A52&gt;6000,A52*L56,(A52*J56)+K56)),"")</f>
        <v/>
      </c>
      <c r="C56" s="97"/>
      <c r="D56" s="96" t="str">
        <f>IF(H53=4,IF($A52&lt;=3000,I56&amp;" )",IF($A52&gt;6000,L56&amp;" )",J56&amp;" ) + "&amp;FIXED(K56,0))),"")</f>
        <v/>
      </c>
      <c r="E56" s="97"/>
      <c r="F56" s="97"/>
      <c r="G56" s="96" t="s">
        <v>20</v>
      </c>
      <c r="H56" s="97"/>
      <c r="I56" s="97">
        <f>Calculs!I$35</f>
        <v>0.46800000000000003</v>
      </c>
      <c r="J56" s="97">
        <f>Calculs!J$35</f>
        <v>8.2000000000000003E-2</v>
      </c>
      <c r="K56" s="97">
        <f>Calculs!K$35</f>
        <v>1158</v>
      </c>
      <c r="L56" s="98">
        <f>Calculs!L$35</f>
        <v>0.27500000000000002</v>
      </c>
    </row>
    <row r="57" spans="1:12" x14ac:dyDescent="0.2">
      <c r="A57" s="95" t="s">
        <v>21</v>
      </c>
      <c r="B57" s="96" t="str">
        <f>IF(H53=5,IF($A52&lt;=3000,A52*I57,IF($A52&gt;6000,A52*L57,(A52*J57)+K57)),"")</f>
        <v/>
      </c>
      <c r="C57" s="97"/>
      <c r="D57" s="96" t="str">
        <f>IF(H53=5,IF($A52&lt;=3000,I57&amp;" )",IF($A52&gt;6000,L57&amp;" )",J57&amp;" ) + "&amp;FIXED(K57,0))),"")</f>
        <v/>
      </c>
      <c r="E57" s="97"/>
      <c r="F57" s="97"/>
      <c r="G57" s="96" t="s">
        <v>21</v>
      </c>
      <c r="H57" s="97"/>
      <c r="I57" s="97">
        <f>Calculs!I$36</f>
        <v>0.60599999999999998</v>
      </c>
      <c r="J57" s="97">
        <f>Calculs!J$36</f>
        <v>7.9000000000000001E-2</v>
      </c>
      <c r="K57" s="97">
        <f>Calculs!K$36</f>
        <v>1583</v>
      </c>
      <c r="L57" s="98">
        <f>Calculs!L$36</f>
        <v>0.34300000000000003</v>
      </c>
    </row>
    <row r="58" spans="1:12" x14ac:dyDescent="0.2">
      <c r="A58" s="95"/>
      <c r="B58" s="96">
        <f>ROUND(SUM(B54:B57),0)</f>
        <v>0</v>
      </c>
      <c r="C58" s="97"/>
      <c r="D58" s="97" t="str">
        <f>D54 &amp; D55 &amp; D56 &amp; D57</f>
        <v/>
      </c>
      <c r="E58" s="97"/>
      <c r="F58" s="97"/>
      <c r="G58" s="97"/>
      <c r="H58" s="97"/>
      <c r="I58" s="97"/>
      <c r="J58" s="97"/>
      <c r="K58" s="97"/>
      <c r="L58" s="98"/>
    </row>
    <row r="59" spans="1:12" x14ac:dyDescent="0.2">
      <c r="A59" s="95"/>
      <c r="B59" s="105"/>
      <c r="C59" s="106"/>
      <c r="D59" s="106"/>
      <c r="E59" s="97"/>
      <c r="F59" s="97"/>
      <c r="G59" s="97"/>
      <c r="H59" s="97"/>
      <c r="I59" s="97"/>
      <c r="J59" s="97"/>
      <c r="K59" s="97"/>
      <c r="L59" s="98"/>
    </row>
    <row r="60" spans="1:12" x14ac:dyDescent="0.2">
      <c r="A60" s="107"/>
      <c r="B60" s="97">
        <f>IF(AND(B49&lt;&gt;0,B58&lt;&gt;0),"N/C",IF(B62=TRUE,(B49+B58)*1.2,B49+B58))</f>
        <v>0</v>
      </c>
      <c r="C60" s="97"/>
      <c r="D60" s="97" t="str">
        <f>IF(AND(D49&lt;&gt;"",D58&lt;&gt;""),"N/C",IF(D49&lt;&gt;"",D49,D58))</f>
        <v/>
      </c>
      <c r="E60" s="97"/>
      <c r="F60" s="97"/>
      <c r="G60" s="97" t="str">
        <f>IF(AND(B49&lt;&gt;0,B58&lt;&gt;0),"Ne compléter que la puissance de la Voiture OU de la Moto","")</f>
        <v/>
      </c>
      <c r="H60" s="97"/>
      <c r="I60" s="97"/>
      <c r="J60" s="97"/>
      <c r="K60" s="97"/>
      <c r="L60" s="98"/>
    </row>
    <row r="61" spans="1:12" x14ac:dyDescent="0.2">
      <c r="A61" s="10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8"/>
    </row>
    <row r="62" spans="1:12" x14ac:dyDescent="0.2">
      <c r="A62" s="111" t="s">
        <v>84</v>
      </c>
      <c r="B62" s="97" t="b">
        <v>0</v>
      </c>
      <c r="C62" s="97" t="str">
        <f>IF(B62=TRUE,IF(AND(H33&gt;1,H53=1),IF(AND(A35&gt;5000,A35&lt;=20000),"[ ",""),IF(AND(H33=1,H53=2),IF(AND(A52&gt;2000,A52&lt;=5000),"[ ",""),IF(AND(H33=1,H53&gt;2),IF(AND(A52&gt;3000,A52&lt;=6000),"[ ",""),""))),"")</f>
        <v/>
      </c>
      <c r="D62" s="97" t="str">
        <f>IF(B62=TRUE,IF(AND(H33&gt;1,H53=1),IF(AND(A35&gt;5000,A35&lt;=20000)," ] x 120 %"," x 120 %"),IF(AND(H33=1,H53=2),IF(AND(A52&gt;2000,A52&lt;=5000)," ] x 120 %"," x 120 %"),IF(AND(H33=1,H53&gt;2),IF(AND(A52&gt;3000,A52&lt;=6000)," ] x 120 %","")," x 120 %"))),"")</f>
        <v/>
      </c>
      <c r="E62" s="97"/>
      <c r="F62" s="97"/>
      <c r="G62" s="97"/>
      <c r="H62" s="97"/>
      <c r="I62" s="97"/>
      <c r="J62" s="97"/>
      <c r="K62" s="97"/>
      <c r="L62" s="98"/>
    </row>
    <row r="63" spans="1:12" x14ac:dyDescent="0.2">
      <c r="A63" s="112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x14ac:dyDescent="0.2">
      <c r="A64" s="90" t="s">
        <v>72</v>
      </c>
      <c r="B64" s="91"/>
      <c r="C64" s="92"/>
      <c r="D64" s="92"/>
      <c r="E64" s="92"/>
      <c r="F64" s="92"/>
      <c r="G64" s="93" t="s">
        <v>60</v>
      </c>
      <c r="H64" s="92">
        <v>1</v>
      </c>
      <c r="I64" s="92">
        <v>-5000</v>
      </c>
      <c r="J64" s="163" t="s">
        <v>28</v>
      </c>
      <c r="K64" s="163"/>
      <c r="L64" s="94">
        <v>20000</v>
      </c>
    </row>
    <row r="65" spans="1:12" x14ac:dyDescent="0.2">
      <c r="A65" s="95">
        <f>1+H64</f>
        <v>2</v>
      </c>
      <c r="B65" s="96" t="s">
        <v>9</v>
      </c>
      <c r="C65" s="97"/>
      <c r="D65" s="97"/>
      <c r="E65" s="97"/>
      <c r="F65" s="97"/>
      <c r="G65" s="97" t="s">
        <v>24</v>
      </c>
      <c r="H65" s="97"/>
      <c r="I65" s="97">
        <f>Calculs!I$2</f>
        <v>0.52900000000000003</v>
      </c>
      <c r="J65" s="97">
        <f>Calculs!J$2</f>
        <v>0.316</v>
      </c>
      <c r="K65" s="97">
        <f>Calculs!K$2</f>
        <v>1065</v>
      </c>
      <c r="L65" s="98">
        <f>Calculs!L$2</f>
        <v>0.37</v>
      </c>
    </row>
    <row r="66" spans="1:12" x14ac:dyDescent="0.2">
      <c r="A66" s="99">
        <f>SOCIETES!G57</f>
        <v>0</v>
      </c>
      <c r="B66" s="96" t="s">
        <v>10</v>
      </c>
      <c r="C66" s="97"/>
      <c r="D66" s="97"/>
      <c r="E66" s="97"/>
      <c r="F66" s="97"/>
      <c r="G66" s="97" t="s">
        <v>25</v>
      </c>
      <c r="H66" s="97"/>
      <c r="I66" s="97">
        <f>Calculs!I$3</f>
        <v>0.60599999999999998</v>
      </c>
      <c r="J66" s="97">
        <f>Calculs!J$3</f>
        <v>0.34</v>
      </c>
      <c r="K66" s="97">
        <f>Calculs!K$3</f>
        <v>1330</v>
      </c>
      <c r="L66" s="98">
        <f>Calculs!L$3</f>
        <v>0.40699999999999997</v>
      </c>
    </row>
    <row r="67" spans="1:12" x14ac:dyDescent="0.2">
      <c r="A67" s="95"/>
      <c r="B67" s="96"/>
      <c r="C67" s="97"/>
      <c r="D67" s="97"/>
      <c r="E67" s="97"/>
      <c r="F67" s="97"/>
      <c r="G67" s="97" t="s">
        <v>26</v>
      </c>
      <c r="H67" s="97"/>
      <c r="I67" s="97">
        <f>Calculs!I$4</f>
        <v>0.63600000000000001</v>
      </c>
      <c r="J67" s="97">
        <f>Calculs!J$4</f>
        <v>0.35699999999999998</v>
      </c>
      <c r="K67" s="97">
        <f>Calculs!K$4</f>
        <v>1395</v>
      </c>
      <c r="L67" s="98">
        <f>Calculs!L$4</f>
        <v>0.42699999999999999</v>
      </c>
    </row>
    <row r="68" spans="1:12" x14ac:dyDescent="0.2">
      <c r="A68" s="95" t="s">
        <v>60</v>
      </c>
      <c r="B68" s="96"/>
      <c r="C68" s="97"/>
      <c r="D68" s="97"/>
      <c r="E68" s="97"/>
      <c r="F68" s="97"/>
      <c r="G68" s="97" t="s">
        <v>27</v>
      </c>
      <c r="H68" s="97"/>
      <c r="I68" s="97">
        <f>Calculs!I$5</f>
        <v>0.66500000000000004</v>
      </c>
      <c r="J68" s="97">
        <f>Calculs!J$5</f>
        <v>0.374</v>
      </c>
      <c r="K68" s="97">
        <f>Calculs!K$5</f>
        <v>1457</v>
      </c>
      <c r="L68" s="98">
        <f>Calculs!L$5</f>
        <v>0.44700000000000001</v>
      </c>
    </row>
    <row r="69" spans="1:12" x14ac:dyDescent="0.2">
      <c r="A69" s="95">
        <v>3</v>
      </c>
      <c r="B69" s="100" t="str">
        <f>IF(A66=0,"",IF(A65=A69,IF(A66&lt;=5000,A66*I65,IF(A66&gt;20000,A66*L65,((A66*J65)+K65))),""))</f>
        <v/>
      </c>
      <c r="C69" s="97"/>
      <c r="D69" s="100" t="str">
        <f>IF(A66=0,"",IF(A65=A69,IF(A66&lt;=5000,I65&amp;" )",IF(A66&gt;20000,L65&amp;" )",J65&amp;" ) + "&amp;FIXED(K65,0))),""))</f>
        <v/>
      </c>
      <c r="E69" s="100"/>
      <c r="F69" s="97"/>
      <c r="G69" s="97" t="s">
        <v>88</v>
      </c>
      <c r="H69" s="97"/>
      <c r="I69" s="97">
        <f>Calculs!I$6</f>
        <v>0.69699999999999995</v>
      </c>
      <c r="J69" s="97">
        <f>Calculs!J$6</f>
        <v>0.39400000000000002</v>
      </c>
      <c r="K69" s="97">
        <f>Calculs!K$6</f>
        <v>1515</v>
      </c>
      <c r="L69" s="98">
        <f>Calculs!L$6</f>
        <v>0.47</v>
      </c>
    </row>
    <row r="70" spans="1:12" x14ac:dyDescent="0.2">
      <c r="A70" s="95">
        <v>4</v>
      </c>
      <c r="B70" s="100" t="str">
        <f>IF(A66=0,"",IF(A65=A70,IF(A66&lt;=5000,A66*I66,IF(A66&gt;20000,A66*L66,((A66*J66)+K66))),""))</f>
        <v/>
      </c>
      <c r="C70" s="97"/>
      <c r="D70" s="100" t="str">
        <f>IF(A66=0,"",IF(A65=A70,IF(A66&lt;=5000,I66&amp;" )",IF(A66&gt;20000,L66&amp;" )",J66&amp;" ) + "&amp;FIXED(K66,0))),""))</f>
        <v/>
      </c>
      <c r="E70" s="97"/>
      <c r="F70" s="97"/>
      <c r="G70" s="97"/>
      <c r="H70" s="97"/>
      <c r="I70" s="97"/>
      <c r="J70" s="97"/>
      <c r="K70" s="97"/>
      <c r="L70" s="98"/>
    </row>
    <row r="71" spans="1:12" x14ac:dyDescent="0.2">
      <c r="A71" s="95">
        <v>5</v>
      </c>
      <c r="B71" s="100" t="str">
        <f>IF(A66=0,"",IF(A65=A71,IF(A66&lt;=5000,A66*I67,IF(A66&gt;20000,A66*L67,((A66*J67)+K67))),""))</f>
        <v/>
      </c>
      <c r="C71" s="97"/>
      <c r="D71" s="100" t="str">
        <f>IF(A66=0,"",IF(A65=A71,IF(A66&lt;=5000,I67&amp;" )",IF(A66&gt;20000,L67&amp;" )",J67&amp;" ) + "&amp;FIXED(K67,0))),""))</f>
        <v/>
      </c>
      <c r="E71" s="97"/>
      <c r="F71" s="97"/>
      <c r="G71" s="97"/>
      <c r="H71" s="97"/>
      <c r="I71" s="97"/>
      <c r="J71" s="97"/>
      <c r="K71" s="97"/>
      <c r="L71" s="98"/>
    </row>
    <row r="72" spans="1:12" x14ac:dyDescent="0.2">
      <c r="A72" s="95">
        <v>6</v>
      </c>
      <c r="B72" s="100" t="str">
        <f>IF(A66=0,"",IF(A65=A72,IF(A66&lt;=5000,A66*I68,IF(A66&gt;20000,A66*L68,((A66*J68)+K68))),""))</f>
        <v/>
      </c>
      <c r="C72" s="97"/>
      <c r="D72" s="100" t="str">
        <f>IF(A66=0,"",IF(A65=A72,IF(A66&lt;=5000,I68&amp;" )",IF(A66&gt;20000,L68&amp;" )",J68&amp;" ) + "&amp;FIXED(K68,0))),""))</f>
        <v/>
      </c>
      <c r="E72" s="97"/>
      <c r="F72" s="97"/>
      <c r="G72" s="97"/>
      <c r="H72" s="97"/>
      <c r="I72" s="97"/>
      <c r="J72" s="97"/>
      <c r="K72" s="97"/>
      <c r="L72" s="98"/>
    </row>
    <row r="73" spans="1:12" x14ac:dyDescent="0.2">
      <c r="A73" s="95">
        <v>7</v>
      </c>
      <c r="B73" s="100" t="str">
        <f>IF(A66=0,"",IF(A65=A73,IF(A66&lt;=5000,A66*I69,IF(A66&gt;20000,A66*L69,((A66*J69)+K69))),""))</f>
        <v/>
      </c>
      <c r="C73" s="97"/>
      <c r="D73" s="100" t="str">
        <f>IF(A66=0,"",IF(A65=A73,IF(A66&lt;=5000,I69&amp;" )",IF(A66&gt;20000,L69&amp;" )",J69&amp;" ) + "&amp;FIXED(K69,0))),""))</f>
        <v/>
      </c>
      <c r="E73" s="97"/>
      <c r="F73" s="97"/>
      <c r="G73" s="97"/>
      <c r="H73" s="97"/>
      <c r="I73" s="97"/>
      <c r="J73" s="97"/>
      <c r="K73" s="97"/>
      <c r="L73" s="98"/>
    </row>
    <row r="74" spans="1:12" x14ac:dyDescent="0.2">
      <c r="A74" s="95"/>
      <c r="B74" s="100" t="str">
        <f>IF(A66=0,"",IF(A65=A74,IF(A66&lt;=5000,A66*I70,IF(A66&gt;20000,A66*L70,((A66*J70)+K70))),""))</f>
        <v/>
      </c>
      <c r="C74" s="97"/>
      <c r="D74" s="100" t="str">
        <f>IF(A66=0,"",IF(A65=A74,IF(A66&lt;=5000,I70&amp;" )",IF(A66&gt;20000,L70&amp;" )",J70&amp;" ) + "&amp;FIXED(K70,0))),""))</f>
        <v/>
      </c>
      <c r="E74" s="97"/>
      <c r="F74" s="97"/>
      <c r="G74" s="97"/>
      <c r="H74" s="97"/>
      <c r="I74" s="97"/>
      <c r="J74" s="97"/>
      <c r="K74" s="97"/>
      <c r="L74" s="98"/>
    </row>
    <row r="75" spans="1:12" x14ac:dyDescent="0.2">
      <c r="A75" s="95"/>
      <c r="B75" s="100" t="str">
        <f>IF(A66=0,"",IF(A65=A75,IF(A66&lt;=5000,A66*I71,IF(A66&gt;20000,A66*L71,((A66*J71)+K71))),""))</f>
        <v/>
      </c>
      <c r="C75" s="97"/>
      <c r="D75" s="100" t="str">
        <f>IF(A66=0,"",IF(A65=A75,IF(A66&lt;=5000,I71&amp;" )",IF(A66&gt;20000,L71&amp;" )",J71&amp;" ) + "&amp;FIXED(K71,0))),""))</f>
        <v/>
      </c>
      <c r="E75" s="97"/>
      <c r="F75" s="97"/>
      <c r="G75" s="97"/>
      <c r="H75" s="97"/>
      <c r="I75" s="97"/>
      <c r="J75" s="97"/>
      <c r="K75" s="97"/>
      <c r="L75" s="98"/>
    </row>
    <row r="76" spans="1:12" x14ac:dyDescent="0.2">
      <c r="A76" s="95"/>
      <c r="B76" s="100" t="str">
        <f>IF(A66=0,"",IF(A65=A76,IF(A66&lt;=5000,A66*I72,IF(A66&gt;20000,A66*L72,((A66*J72)+K72))),""))</f>
        <v/>
      </c>
      <c r="C76" s="97"/>
      <c r="D76" s="100" t="str">
        <f>IF(A66=0,"",IF(A65=A76,IF(A66&lt;=5000,I72&amp;" )",IF(A66&gt;20000,L72&amp;" )",J72&amp;" ) + "&amp;FIXED(K72,0))),""))</f>
        <v/>
      </c>
      <c r="E76" s="97"/>
      <c r="F76" s="97"/>
      <c r="G76" s="97"/>
      <c r="H76" s="97"/>
      <c r="I76" s="97"/>
      <c r="J76" s="97"/>
      <c r="K76" s="97"/>
      <c r="L76" s="98"/>
    </row>
    <row r="77" spans="1:12" x14ac:dyDescent="0.2">
      <c r="A77" s="95"/>
      <c r="B77" s="100" t="str">
        <f>IF(A66=0,"",IF(A65=A77,IF(A66&lt;=5000,A66*I73,IF(A66&gt;20000,A66*L73,((A66*J73)+K73))),""))</f>
        <v/>
      </c>
      <c r="C77" s="97"/>
      <c r="D77" s="100" t="str">
        <f>IF(A66=0,"",IF(A65=A77,IF(A66&lt;=5000,I73&amp;" )",IF(A66&gt;20000,L73&amp;" )",J73&amp;" ) + "&amp;FIXED(K73,0))),""))</f>
        <v/>
      </c>
      <c r="E77" s="97"/>
      <c r="F77" s="97"/>
      <c r="G77" s="97"/>
      <c r="H77" s="97"/>
      <c r="I77" s="97"/>
      <c r="J77" s="97"/>
      <c r="K77" s="97"/>
      <c r="L77" s="98"/>
    </row>
    <row r="78" spans="1:12" x14ac:dyDescent="0.2">
      <c r="A78" s="95"/>
      <c r="B78" s="100" t="str">
        <f>IF(A66=0,"",IF(A65=A78,IF(A66&lt;=5000,A66*I74,IF(A66&gt;20000,A66*L74,((A66*J74)+K74))),""))</f>
        <v/>
      </c>
      <c r="C78" s="97"/>
      <c r="D78" s="100" t="str">
        <f>IF(A66=0,"",IF(A65=A78,IF(A66&lt;=5000,I74&amp;" )",IF(A66&gt;20000,L74&amp;" )",J74&amp;" ) + "&amp;FIXED(K74,0))),""))</f>
        <v/>
      </c>
      <c r="E78" s="97"/>
      <c r="F78" s="97"/>
      <c r="G78" s="97"/>
      <c r="H78" s="97"/>
      <c r="I78" s="97"/>
      <c r="J78" s="97"/>
      <c r="K78" s="97"/>
      <c r="L78" s="98"/>
    </row>
    <row r="79" spans="1:12" x14ac:dyDescent="0.2">
      <c r="A79" s="95"/>
      <c r="B79" s="100" t="str">
        <f>IF(A66=0,"",IF(A65=A79,IF(A66&lt;=5000,A66*I75,IF(A66&gt;20000,A66*L75,((A66*J75)+K75))),""))</f>
        <v/>
      </c>
      <c r="C79" s="97"/>
      <c r="D79" s="100" t="str">
        <f>IF(A66=0,"",IF(A65=A79,IF(A66&lt;=5000,I75&amp;" )",IF(A66&gt;20000,L75&amp;" )",J75&amp;" ) + "&amp;FIXED(K75,0))),""))</f>
        <v/>
      </c>
      <c r="E79" s="97"/>
      <c r="F79" s="97"/>
      <c r="G79" s="97"/>
      <c r="H79" s="97"/>
      <c r="I79" s="97"/>
      <c r="J79" s="97"/>
      <c r="K79" s="97"/>
      <c r="L79" s="98"/>
    </row>
    <row r="80" spans="1:12" x14ac:dyDescent="0.2">
      <c r="A80" s="95"/>
      <c r="B80" s="100">
        <f>ROUND(SUM(B69:B79),0)</f>
        <v>0</v>
      </c>
      <c r="C80" s="97"/>
      <c r="D80" s="101" t="str">
        <f>D69 &amp; D70 &amp; D71 &amp; D72 &amp; D73 &amp; D74 &amp; D75 &amp; D76 &amp; D77 &amp; D78 &amp; D79</f>
        <v/>
      </c>
      <c r="E80" s="97"/>
      <c r="F80" s="97"/>
      <c r="G80" s="97"/>
      <c r="H80" s="97"/>
      <c r="I80" s="97"/>
      <c r="J80" s="97"/>
      <c r="K80" s="97"/>
      <c r="L80" s="98"/>
    </row>
    <row r="81" spans="1:12" x14ac:dyDescent="0.2">
      <c r="A81" s="95"/>
      <c r="B81" s="96"/>
      <c r="C81" s="97"/>
      <c r="D81" s="97"/>
      <c r="E81" s="97"/>
      <c r="F81" s="97"/>
      <c r="G81" s="97"/>
      <c r="H81" s="97"/>
      <c r="I81" s="97"/>
      <c r="J81" s="97"/>
      <c r="K81" s="97"/>
      <c r="L81" s="98"/>
    </row>
    <row r="82" spans="1:12" x14ac:dyDescent="0.2">
      <c r="A82" s="95" t="s">
        <v>73</v>
      </c>
      <c r="B82" s="96"/>
      <c r="C82" s="97"/>
      <c r="D82" s="97"/>
      <c r="E82" s="97"/>
      <c r="F82" s="97"/>
      <c r="G82" s="97"/>
      <c r="H82" s="97"/>
      <c r="I82" s="97"/>
      <c r="J82" s="97"/>
      <c r="K82" s="97"/>
      <c r="L82" s="98"/>
    </row>
    <row r="83" spans="1:12" x14ac:dyDescent="0.2">
      <c r="A83" s="99">
        <f>A66</f>
        <v>0</v>
      </c>
      <c r="B83" s="96" t="s">
        <v>17</v>
      </c>
      <c r="C83" s="97"/>
      <c r="D83" s="97"/>
      <c r="E83" s="97"/>
      <c r="F83" s="97"/>
      <c r="G83" s="97"/>
      <c r="H83" s="97"/>
      <c r="I83" s="97"/>
      <c r="J83" s="97"/>
      <c r="K83" s="97"/>
      <c r="L83" s="98"/>
    </row>
    <row r="84" spans="1:12" x14ac:dyDescent="0.2">
      <c r="A84" s="95" t="s">
        <v>60</v>
      </c>
      <c r="B84" s="97"/>
      <c r="C84" s="97"/>
      <c r="D84" s="101"/>
      <c r="E84" s="97"/>
      <c r="F84" s="97"/>
      <c r="G84" s="102" t="s">
        <v>60</v>
      </c>
      <c r="H84" s="97">
        <v>1</v>
      </c>
      <c r="I84" s="97"/>
      <c r="J84" s="97"/>
      <c r="K84" s="97"/>
      <c r="L84" s="98"/>
    </row>
    <row r="85" spans="1:12" ht="14.25" x14ac:dyDescent="0.2">
      <c r="A85" s="103" t="s">
        <v>18</v>
      </c>
      <c r="B85" s="96" t="str">
        <f>IF(H84=2,IF($A83&lt;=3000,A83*I85,IF($A83&gt;6000,A83*L85,(A83*J85)+K85)),"")</f>
        <v/>
      </c>
      <c r="C85" s="97"/>
      <c r="D85" s="96" t="str">
        <f>IF(H84=2,IF($A83&lt;=3000,I85&amp;" )",IF($A83&gt;6000,L85&amp;" )",J85&amp;" ) + "&amp;K85)),"")</f>
        <v/>
      </c>
      <c r="E85" s="97"/>
      <c r="F85" s="97"/>
      <c r="G85" s="104" t="s">
        <v>36</v>
      </c>
      <c r="H85" s="97"/>
      <c r="I85" s="97">
        <f>Calculs!I$33</f>
        <v>0.315</v>
      </c>
      <c r="J85" s="97">
        <f>Calculs!J$33</f>
        <v>7.9000000000000001E-2</v>
      </c>
      <c r="K85" s="97">
        <f>Calculs!K$33</f>
        <v>711</v>
      </c>
      <c r="L85" s="98">
        <f>Calculs!L$33</f>
        <v>0.19800000000000001</v>
      </c>
    </row>
    <row r="86" spans="1:12" x14ac:dyDescent="0.2">
      <c r="A86" s="95" t="s">
        <v>56</v>
      </c>
      <c r="B86" s="96" t="str">
        <f>IF(H84=3,IF($A83&lt;=3000,A83*I86,IF($A83&gt;6000,A83*L86,(A83*J86)+K86)),"")</f>
        <v/>
      </c>
      <c r="C86" s="97"/>
      <c r="D86" s="96" t="str">
        <f>IF(H84=3,IF($A83&lt;=3000,I86&amp;" )",IF($A83&gt;6000,L86&amp;" )",J86&amp;" ) + "&amp;K86)),"")</f>
        <v/>
      </c>
      <c r="E86" s="97"/>
      <c r="F86" s="97"/>
      <c r="G86" s="96" t="s">
        <v>56</v>
      </c>
      <c r="H86" s="97"/>
      <c r="I86" s="97">
        <f>Calculs!I$34</f>
        <v>0.39500000000000002</v>
      </c>
      <c r="J86" s="97">
        <f>Calculs!J$34</f>
        <v>9.9000000000000005E-2</v>
      </c>
      <c r="K86" s="97">
        <f>Calculs!K$34</f>
        <v>891</v>
      </c>
      <c r="L86" s="98">
        <f>Calculs!L$34</f>
        <v>0.248</v>
      </c>
    </row>
    <row r="87" spans="1:12" x14ac:dyDescent="0.2">
      <c r="A87" s="95" t="s">
        <v>20</v>
      </c>
      <c r="B87" s="96" t="str">
        <f>IF(H84=4,IF($A83&lt;=3000,A83*I87,IF($A83&gt;6000,A83*L87,(A83*J87)+K87)),"")</f>
        <v/>
      </c>
      <c r="C87" s="97"/>
      <c r="D87" s="96" t="str">
        <f>IF(H84=4,IF($A83&lt;=3000,I87&amp;" )",IF($A83&gt;6000,L87&amp;" )",J87&amp;" ) + "&amp;FIXED(K87,0))),"")</f>
        <v/>
      </c>
      <c r="E87" s="97"/>
      <c r="F87" s="97"/>
      <c r="G87" s="96" t="s">
        <v>20</v>
      </c>
      <c r="H87" s="97"/>
      <c r="I87" s="97">
        <f>Calculs!I$35</f>
        <v>0.46800000000000003</v>
      </c>
      <c r="J87" s="97">
        <f>Calculs!J$35</f>
        <v>8.2000000000000003E-2</v>
      </c>
      <c r="K87" s="97">
        <f>Calculs!K$35</f>
        <v>1158</v>
      </c>
      <c r="L87" s="98">
        <f>Calculs!L$35</f>
        <v>0.27500000000000002</v>
      </c>
    </row>
    <row r="88" spans="1:12" x14ac:dyDescent="0.2">
      <c r="A88" s="95" t="s">
        <v>21</v>
      </c>
      <c r="B88" s="96" t="str">
        <f>IF(H84=5,IF($A83&lt;=3000,A83*I88,IF($A83&gt;6000,A83*L88,(A83*J88)+K88)),"")</f>
        <v/>
      </c>
      <c r="C88" s="97"/>
      <c r="D88" s="96" t="str">
        <f>IF(H84=5,IF($A83&lt;=3000,I88&amp;" )",IF($A83&gt;6000,L88&amp;" )",J88&amp;" ) + "&amp;FIXED(K88,0))),"")</f>
        <v/>
      </c>
      <c r="E88" s="97"/>
      <c r="F88" s="97"/>
      <c r="G88" s="96" t="s">
        <v>21</v>
      </c>
      <c r="H88" s="97"/>
      <c r="I88" s="97">
        <f>Calculs!I$36</f>
        <v>0.60599999999999998</v>
      </c>
      <c r="J88" s="97">
        <f>Calculs!J$36</f>
        <v>7.9000000000000001E-2</v>
      </c>
      <c r="K88" s="97">
        <f>Calculs!K$36</f>
        <v>1583</v>
      </c>
      <c r="L88" s="98">
        <f>Calculs!L$36</f>
        <v>0.34300000000000003</v>
      </c>
    </row>
    <row r="89" spans="1:12" x14ac:dyDescent="0.2">
      <c r="A89" s="95"/>
      <c r="B89" s="96">
        <f>ROUND(SUM(B85:B88),0)</f>
        <v>0</v>
      </c>
      <c r="C89" s="97"/>
      <c r="D89" s="97" t="str">
        <f>D85 &amp; D86 &amp; D87 &amp; D88</f>
        <v/>
      </c>
      <c r="E89" s="97"/>
      <c r="F89" s="97"/>
      <c r="G89" s="97"/>
      <c r="H89" s="97"/>
      <c r="I89" s="97"/>
      <c r="J89" s="97"/>
      <c r="K89" s="97"/>
      <c r="L89" s="98"/>
    </row>
    <row r="90" spans="1:12" x14ac:dyDescent="0.2">
      <c r="A90" s="95"/>
      <c r="B90" s="105"/>
      <c r="C90" s="106"/>
      <c r="D90" s="106"/>
      <c r="E90" s="97"/>
      <c r="F90" s="97"/>
      <c r="G90" s="97"/>
      <c r="H90" s="97"/>
      <c r="I90" s="97"/>
      <c r="J90" s="97"/>
      <c r="K90" s="97"/>
      <c r="L90" s="98"/>
    </row>
    <row r="91" spans="1:12" x14ac:dyDescent="0.2">
      <c r="A91" s="107"/>
      <c r="B91" s="97">
        <f>IF(AND(B80&lt;&gt;0,B89&lt;&gt;0),"N/C",IF(B93=TRUE,(B80+B89)*1.2,B80+B89))</f>
        <v>0</v>
      </c>
      <c r="C91" s="97"/>
      <c r="D91" s="97" t="str">
        <f>IF(AND(D80&lt;&gt;"",D89&lt;&gt;""),"N/C",IF(D80&lt;&gt;"",D80,D89))</f>
        <v/>
      </c>
      <c r="E91" s="97"/>
      <c r="F91" s="97"/>
      <c r="G91" s="97" t="str">
        <f>IF(AND(B80&lt;&gt;0,B89&lt;&gt;0),"Ne compléter que la puissance de la Voiture OU de la Moto","")</f>
        <v/>
      </c>
      <c r="H91" s="97"/>
      <c r="I91" s="97"/>
      <c r="J91" s="97"/>
      <c r="K91" s="97"/>
      <c r="L91" s="98"/>
    </row>
    <row r="92" spans="1:12" x14ac:dyDescent="0.2">
      <c r="A92" s="10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8"/>
    </row>
    <row r="93" spans="1:12" x14ac:dyDescent="0.2">
      <c r="A93" s="111" t="s">
        <v>84</v>
      </c>
      <c r="B93" s="97" t="b">
        <v>0</v>
      </c>
      <c r="C93" s="97" t="str">
        <f>IF(B93=TRUE,IF(AND(H64&gt;1,H84=1),IF(AND(A66&gt;5000,A66&lt;=20000),"[ ",""),IF(AND(H64=1,H84=2),IF(AND(A83&gt;2000,A83&lt;=5000),"[ ",""),IF(AND(H64=1,H84&gt;2),IF(AND(A83&gt;3000,A83&lt;=6000),"[ ",""),""))),"")</f>
        <v/>
      </c>
      <c r="D93" s="97" t="str">
        <f>IF(B93=TRUE,IF(AND(H64&gt;1,H84=1),IF(AND(A66&gt;5000,A66&lt;=20000)," ] x 120 %"," x 120 %"),IF(AND(H64=1,H84=2),IF(AND(A83&gt;2000,A83&lt;=5000)," ] x 120 %"," x 120 %"),IF(AND(H64=1,H84&gt;2),IF(AND(A83&gt;3000,A83&lt;=6000)," ] x 120 %","")," x 120 %"))),"")</f>
        <v/>
      </c>
      <c r="E93" s="97"/>
      <c r="F93" s="97"/>
      <c r="G93" s="97"/>
      <c r="H93" s="97"/>
      <c r="I93" s="97"/>
      <c r="J93" s="97"/>
      <c r="K93" s="97"/>
      <c r="L93" s="98"/>
    </row>
    <row r="94" spans="1:12" x14ac:dyDescent="0.2">
      <c r="A94" s="112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10"/>
    </row>
    <row r="95" spans="1:12" x14ac:dyDescent="0.2">
      <c r="A95" s="90" t="s">
        <v>74</v>
      </c>
      <c r="B95" s="91"/>
      <c r="C95" s="92"/>
      <c r="D95" s="92"/>
      <c r="E95" s="92"/>
      <c r="F95" s="92"/>
      <c r="G95" s="93" t="s">
        <v>60</v>
      </c>
      <c r="H95" s="92">
        <v>1</v>
      </c>
      <c r="I95" s="92">
        <v>-5000</v>
      </c>
      <c r="J95" s="163" t="s">
        <v>28</v>
      </c>
      <c r="K95" s="163"/>
      <c r="L95" s="94">
        <v>20000</v>
      </c>
    </row>
    <row r="96" spans="1:12" x14ac:dyDescent="0.2">
      <c r="A96" s="95">
        <f>1+H95</f>
        <v>2</v>
      </c>
      <c r="B96" s="96" t="s">
        <v>9</v>
      </c>
      <c r="C96" s="97"/>
      <c r="D96" s="97"/>
      <c r="E96" s="97"/>
      <c r="F96" s="97"/>
      <c r="G96" s="97" t="s">
        <v>24</v>
      </c>
      <c r="H96" s="97"/>
      <c r="I96" s="97">
        <f>Calculs!I$2</f>
        <v>0.52900000000000003</v>
      </c>
      <c r="J96" s="97">
        <f>Calculs!J$2</f>
        <v>0.316</v>
      </c>
      <c r="K96" s="97">
        <f>Calculs!K$2</f>
        <v>1065</v>
      </c>
      <c r="L96" s="98">
        <f>Calculs!L$2</f>
        <v>0.37</v>
      </c>
    </row>
    <row r="97" spans="1:12" x14ac:dyDescent="0.2">
      <c r="A97" s="99">
        <f>SOCIETES!G77</f>
        <v>0</v>
      </c>
      <c r="B97" s="96" t="s">
        <v>10</v>
      </c>
      <c r="C97" s="97"/>
      <c r="D97" s="97"/>
      <c r="E97" s="97"/>
      <c r="F97" s="97"/>
      <c r="G97" s="97" t="s">
        <v>25</v>
      </c>
      <c r="H97" s="97"/>
      <c r="I97" s="97">
        <f>Calculs!I$3</f>
        <v>0.60599999999999998</v>
      </c>
      <c r="J97" s="97">
        <f>Calculs!J$3</f>
        <v>0.34</v>
      </c>
      <c r="K97" s="97">
        <f>Calculs!K$3</f>
        <v>1330</v>
      </c>
      <c r="L97" s="98">
        <f>Calculs!L$3</f>
        <v>0.40699999999999997</v>
      </c>
    </row>
    <row r="98" spans="1:12" x14ac:dyDescent="0.2">
      <c r="A98" s="95"/>
      <c r="B98" s="96"/>
      <c r="C98" s="97"/>
      <c r="D98" s="97"/>
      <c r="E98" s="97"/>
      <c r="F98" s="97"/>
      <c r="G98" s="97" t="s">
        <v>26</v>
      </c>
      <c r="H98" s="97"/>
      <c r="I98" s="97">
        <f>Calculs!I$4</f>
        <v>0.63600000000000001</v>
      </c>
      <c r="J98" s="97">
        <f>Calculs!J$4</f>
        <v>0.35699999999999998</v>
      </c>
      <c r="K98" s="97">
        <f>Calculs!K$4</f>
        <v>1395</v>
      </c>
      <c r="L98" s="98">
        <f>Calculs!L$4</f>
        <v>0.42699999999999999</v>
      </c>
    </row>
    <row r="99" spans="1:12" x14ac:dyDescent="0.2">
      <c r="A99" s="95" t="s">
        <v>60</v>
      </c>
      <c r="B99" s="96"/>
      <c r="C99" s="97"/>
      <c r="D99" s="97"/>
      <c r="E99" s="97"/>
      <c r="F99" s="97"/>
      <c r="G99" s="97" t="s">
        <v>27</v>
      </c>
      <c r="H99" s="97"/>
      <c r="I99" s="97">
        <f>Calculs!I$5</f>
        <v>0.66500000000000004</v>
      </c>
      <c r="J99" s="97">
        <f>Calculs!J$5</f>
        <v>0.374</v>
      </c>
      <c r="K99" s="97">
        <f>Calculs!K$5</f>
        <v>1457</v>
      </c>
      <c r="L99" s="98">
        <f>Calculs!L$5</f>
        <v>0.44700000000000001</v>
      </c>
    </row>
    <row r="100" spans="1:12" x14ac:dyDescent="0.2">
      <c r="A100" s="95">
        <v>3</v>
      </c>
      <c r="B100" s="100" t="str">
        <f>IF(A97=0,"",IF(A96=A100,IF(A97&lt;=5000,A97*I96,IF(A97&gt;20000,A97*L96,((A97*J96)+K96))),""))</f>
        <v/>
      </c>
      <c r="C100" s="97"/>
      <c r="D100" s="100" t="str">
        <f>IF(A97=0,"",IF(A96=A100,IF(A97&lt;=5000,I96&amp;" )",IF(A97&gt;20000,L96&amp;" )",J96&amp;" ) + "&amp;FIXED(K96,0))),""))</f>
        <v/>
      </c>
      <c r="E100" s="100"/>
      <c r="F100" s="97"/>
      <c r="G100" s="97" t="s">
        <v>88</v>
      </c>
      <c r="H100" s="97"/>
      <c r="I100" s="97">
        <f>Calculs!I$6</f>
        <v>0.69699999999999995</v>
      </c>
      <c r="J100" s="97">
        <f>Calculs!J$6</f>
        <v>0.39400000000000002</v>
      </c>
      <c r="K100" s="97">
        <f>Calculs!K$6</f>
        <v>1515</v>
      </c>
      <c r="L100" s="98">
        <f>Calculs!L$6</f>
        <v>0.47</v>
      </c>
    </row>
    <row r="101" spans="1:12" x14ac:dyDescent="0.2">
      <c r="A101" s="95">
        <v>4</v>
      </c>
      <c r="B101" s="100" t="str">
        <f>IF(A97=0,"",IF(A96=A101,IF(A97&lt;=5000,A97*I97,IF(A97&gt;20000,A97*L97,((A97*J97)+K97))),""))</f>
        <v/>
      </c>
      <c r="C101" s="97"/>
      <c r="D101" s="100" t="str">
        <f>IF(A97=0,"",IF(A96=A101,IF(A97&lt;=5000,I97&amp;" )",IF(A97&gt;20000,L97&amp;" )",J97&amp;" ) + "&amp;FIXED(K97,0))),""))</f>
        <v/>
      </c>
      <c r="E101" s="97"/>
      <c r="F101" s="97"/>
      <c r="G101" s="97"/>
      <c r="H101" s="97"/>
      <c r="I101" s="97"/>
      <c r="J101" s="97"/>
      <c r="K101" s="97"/>
      <c r="L101" s="98"/>
    </row>
    <row r="102" spans="1:12" x14ac:dyDescent="0.2">
      <c r="A102" s="95">
        <v>5</v>
      </c>
      <c r="B102" s="100" t="str">
        <f>IF(A97=0,"",IF(A96=A102,IF(A97&lt;=5000,A97*I98,IF(A97&gt;20000,A97*L98,((A97*J98)+K98))),""))</f>
        <v/>
      </c>
      <c r="C102" s="97"/>
      <c r="D102" s="100" t="str">
        <f>IF(A97=0,"",IF(A96=A102,IF(A97&lt;=5000,I98&amp;" )",IF(A97&gt;20000,L98&amp;" )",J98&amp;" ) + "&amp;FIXED(K98,0))),""))</f>
        <v/>
      </c>
      <c r="E102" s="97"/>
      <c r="F102" s="97"/>
      <c r="G102" s="97"/>
      <c r="H102" s="97"/>
      <c r="I102" s="97"/>
      <c r="J102" s="97"/>
      <c r="K102" s="97"/>
      <c r="L102" s="98"/>
    </row>
    <row r="103" spans="1:12" x14ac:dyDescent="0.2">
      <c r="A103" s="95">
        <v>6</v>
      </c>
      <c r="B103" s="100" t="str">
        <f>IF(A97=0,"",IF(A96=A103,IF(A97&lt;=5000,A97*I99,IF(A97&gt;20000,A97*L99,((A97*J99)+K99))),""))</f>
        <v/>
      </c>
      <c r="C103" s="97"/>
      <c r="D103" s="100" t="str">
        <f>IF(A97=0,"",IF(A96=A103,IF(A97&lt;=5000,I99&amp;" )",IF(A97&gt;20000,L99&amp;" )",J99&amp;" ) + "&amp;FIXED(K99,0))),""))</f>
        <v/>
      </c>
      <c r="E103" s="97"/>
      <c r="F103" s="97"/>
      <c r="G103" s="97"/>
      <c r="H103" s="97"/>
      <c r="I103" s="97"/>
      <c r="J103" s="97"/>
      <c r="K103" s="97"/>
      <c r="L103" s="98"/>
    </row>
    <row r="104" spans="1:12" x14ac:dyDescent="0.2">
      <c r="A104" s="95">
        <v>7</v>
      </c>
      <c r="B104" s="100" t="str">
        <f>IF(A97=0,"",IF(A96=A104,IF(A97&lt;=5000,A97*I100,IF(A97&gt;20000,A97*L100,((A97*J100)+K100))),""))</f>
        <v/>
      </c>
      <c r="C104" s="97"/>
      <c r="D104" s="100" t="str">
        <f>IF(A97=0,"",IF(A96=A104,IF(A97&lt;=5000,I100&amp;" )",IF(A97&gt;20000,L100&amp;" )",J100&amp;" ) + "&amp;FIXED(K100,0))),""))</f>
        <v/>
      </c>
      <c r="E104" s="97"/>
      <c r="F104" s="97"/>
      <c r="G104" s="97"/>
      <c r="H104" s="97"/>
      <c r="I104" s="97"/>
      <c r="J104" s="97"/>
      <c r="K104" s="97"/>
      <c r="L104" s="98"/>
    </row>
    <row r="105" spans="1:12" x14ac:dyDescent="0.2">
      <c r="A105" s="95"/>
      <c r="B105" s="100" t="str">
        <f>IF(A97=0,"",IF(A96=A105,IF(A97&lt;=5000,A97*I101,IF(A97&gt;20000,A97*L101,((A97*J101)+K101))),""))</f>
        <v/>
      </c>
      <c r="C105" s="97"/>
      <c r="D105" s="100" t="str">
        <f>IF(A97=0,"",IF(A96=A105,IF(A97&lt;=5000,I101&amp;" )",IF(A97&gt;20000,L101&amp;" )",J101&amp;" ) + "&amp;FIXED(K101,0))),""))</f>
        <v/>
      </c>
      <c r="E105" s="97"/>
      <c r="F105" s="97"/>
      <c r="G105" s="97"/>
      <c r="H105" s="97"/>
      <c r="I105" s="97"/>
      <c r="J105" s="97"/>
      <c r="K105" s="97"/>
      <c r="L105" s="98"/>
    </row>
    <row r="106" spans="1:12" x14ac:dyDescent="0.2">
      <c r="A106" s="95"/>
      <c r="B106" s="100" t="str">
        <f>IF(A97=0,"",IF(A96=A106,IF(A97&lt;=5000,A97*I102,IF(A97&gt;20000,A97*L102,((A97*J102)+K102))),""))</f>
        <v/>
      </c>
      <c r="C106" s="97"/>
      <c r="D106" s="100" t="str">
        <f>IF(A97=0,"",IF(A96=A106,IF(A97&lt;=5000,I102&amp;" )",IF(A97&gt;20000,L102&amp;" )",J102&amp;" ) + "&amp;FIXED(K102,0))),""))</f>
        <v/>
      </c>
      <c r="E106" s="97"/>
      <c r="F106" s="97"/>
      <c r="G106" s="97"/>
      <c r="H106" s="97"/>
      <c r="I106" s="97"/>
      <c r="J106" s="97"/>
      <c r="K106" s="97"/>
      <c r="L106" s="98"/>
    </row>
    <row r="107" spans="1:12" x14ac:dyDescent="0.2">
      <c r="A107" s="95"/>
      <c r="B107" s="100" t="str">
        <f>IF(A97=0,"",IF(A96=A107,IF(A97&lt;=5000,A97*I103,IF(A97&gt;20000,A97*L103,((A97*J103)+K103))),""))</f>
        <v/>
      </c>
      <c r="C107" s="97"/>
      <c r="D107" s="100" t="str">
        <f>IF(A97=0,"",IF(A96=A107,IF(A97&lt;=5000,I103&amp;" )",IF(A97&gt;20000,L103&amp;" )",J103&amp;" ) + "&amp;FIXED(K103,0))),""))</f>
        <v/>
      </c>
      <c r="E107" s="97"/>
      <c r="F107" s="97"/>
      <c r="G107" s="97"/>
      <c r="H107" s="97"/>
      <c r="I107" s="97"/>
      <c r="J107" s="97"/>
      <c r="K107" s="97"/>
      <c r="L107" s="98"/>
    </row>
    <row r="108" spans="1:12" x14ac:dyDescent="0.2">
      <c r="A108" s="95"/>
      <c r="B108" s="100" t="str">
        <f>IF(A97=0,"",IF(A96=A108,IF(A97&lt;=5000,A97*I104,IF(A97&gt;20000,A97*L104,((A97*J104)+K104))),""))</f>
        <v/>
      </c>
      <c r="C108" s="97"/>
      <c r="D108" s="100" t="str">
        <f>IF(A97=0,"",IF(A96=A108,IF(A97&lt;=5000,I104&amp;" )",IF(A97&gt;20000,L104&amp;" )",J104&amp;" ) + "&amp;FIXED(K104,0))),""))</f>
        <v/>
      </c>
      <c r="E108" s="97"/>
      <c r="F108" s="97"/>
      <c r="G108" s="97"/>
      <c r="H108" s="97"/>
      <c r="I108" s="97"/>
      <c r="J108" s="97"/>
      <c r="K108" s="97"/>
      <c r="L108" s="98"/>
    </row>
    <row r="109" spans="1:12" x14ac:dyDescent="0.2">
      <c r="A109" s="95"/>
      <c r="B109" s="100" t="str">
        <f>IF(A97=0,"",IF(A96=A109,IF(A97&lt;=5000,A97*I105,IF(A97&gt;20000,A97*L105,((A97*J105)+K105))),""))</f>
        <v/>
      </c>
      <c r="C109" s="97"/>
      <c r="D109" s="100" t="str">
        <f>IF(A97=0,"",IF(A96=A109,IF(A97&lt;=5000,I105&amp;" )",IF(A97&gt;20000,L105&amp;" )",J105&amp;" ) + "&amp;FIXED(K105,0))),""))</f>
        <v/>
      </c>
      <c r="E109" s="97"/>
      <c r="F109" s="97"/>
      <c r="G109" s="97"/>
      <c r="H109" s="97"/>
      <c r="I109" s="97"/>
      <c r="J109" s="97"/>
      <c r="K109" s="97"/>
      <c r="L109" s="98"/>
    </row>
    <row r="110" spans="1:12" x14ac:dyDescent="0.2">
      <c r="A110" s="95"/>
      <c r="B110" s="100" t="str">
        <f>IF(A97=0,"",IF(A96=A110,IF(A97&lt;=5000,A97*I106,IF(A97&gt;20000,A97*L106,((A97*J106)+K106))),""))</f>
        <v/>
      </c>
      <c r="C110" s="97"/>
      <c r="D110" s="100" t="str">
        <f>IF(A97=0,"",IF(A96=A110,IF(A97&lt;=5000,I106&amp;" )",IF(A97&gt;20000,L106&amp;" )",J106&amp;" ) + "&amp;FIXED(K106,0))),""))</f>
        <v/>
      </c>
      <c r="E110" s="97"/>
      <c r="F110" s="97"/>
      <c r="G110" s="97"/>
      <c r="H110" s="97"/>
      <c r="I110" s="97"/>
      <c r="J110" s="97"/>
      <c r="K110" s="97"/>
      <c r="L110" s="98"/>
    </row>
    <row r="111" spans="1:12" x14ac:dyDescent="0.2">
      <c r="A111" s="95"/>
      <c r="B111" s="100">
        <f>ROUND(SUM(B100:B110),0)</f>
        <v>0</v>
      </c>
      <c r="C111" s="97"/>
      <c r="D111" s="101" t="str">
        <f>D100 &amp; D101 &amp; D102 &amp; D103 &amp; D104 &amp; D105 &amp; D106 &amp; D107 &amp; D108 &amp; D109 &amp; D110</f>
        <v/>
      </c>
      <c r="E111" s="97"/>
      <c r="F111" s="97"/>
      <c r="G111" s="97"/>
      <c r="H111" s="97"/>
      <c r="I111" s="97"/>
      <c r="J111" s="97"/>
      <c r="K111" s="97"/>
      <c r="L111" s="98"/>
    </row>
    <row r="112" spans="1:12" x14ac:dyDescent="0.2">
      <c r="A112" s="95"/>
      <c r="B112" s="96"/>
      <c r="C112" s="97"/>
      <c r="D112" s="97"/>
      <c r="E112" s="97"/>
      <c r="F112" s="97"/>
      <c r="G112" s="97"/>
      <c r="H112" s="97"/>
      <c r="I112" s="97"/>
      <c r="J112" s="97"/>
      <c r="K112" s="97"/>
      <c r="L112" s="98"/>
    </row>
    <row r="113" spans="1:12" x14ac:dyDescent="0.2">
      <c r="A113" s="95" t="s">
        <v>75</v>
      </c>
      <c r="B113" s="96"/>
      <c r="C113" s="97"/>
      <c r="D113" s="97"/>
      <c r="E113" s="97"/>
      <c r="F113" s="97"/>
      <c r="G113" s="97"/>
      <c r="H113" s="97"/>
      <c r="I113" s="97"/>
      <c r="J113" s="97"/>
      <c r="K113" s="97"/>
      <c r="L113" s="98"/>
    </row>
    <row r="114" spans="1:12" x14ac:dyDescent="0.2">
      <c r="A114" s="99">
        <f>A97</f>
        <v>0</v>
      </c>
      <c r="B114" s="96" t="s">
        <v>17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8"/>
    </row>
    <row r="115" spans="1:12" x14ac:dyDescent="0.2">
      <c r="A115" s="95" t="s">
        <v>60</v>
      </c>
      <c r="B115" s="97"/>
      <c r="C115" s="97"/>
      <c r="D115" s="101"/>
      <c r="E115" s="97"/>
      <c r="F115" s="97"/>
      <c r="G115" s="102" t="s">
        <v>60</v>
      </c>
      <c r="H115" s="97">
        <v>1</v>
      </c>
      <c r="I115" s="97"/>
      <c r="J115" s="97"/>
      <c r="K115" s="97"/>
      <c r="L115" s="98"/>
    </row>
    <row r="116" spans="1:12" ht="14.25" x14ac:dyDescent="0.2">
      <c r="A116" s="103" t="s">
        <v>18</v>
      </c>
      <c r="B116" s="96" t="str">
        <f>IF(H115=2,IF($A114&lt;=3000,A114*I116,IF($A114&gt;6000,A114*L116,(A114*J116)+K116)),"")</f>
        <v/>
      </c>
      <c r="C116" s="97"/>
      <c r="D116" s="96" t="str">
        <f>IF(H115=2,IF($A114&lt;=3000,I116&amp;" )",IF($A114&gt;6000,L116&amp;" )",J116&amp;" ) + "&amp;K116)),"")</f>
        <v/>
      </c>
      <c r="E116" s="97"/>
      <c r="F116" s="97"/>
      <c r="G116" s="104" t="s">
        <v>36</v>
      </c>
      <c r="H116" s="97"/>
      <c r="I116" s="97">
        <f>Calculs!I$33</f>
        <v>0.315</v>
      </c>
      <c r="J116" s="97">
        <f>Calculs!J$33</f>
        <v>7.9000000000000001E-2</v>
      </c>
      <c r="K116" s="97">
        <f>Calculs!K$33</f>
        <v>711</v>
      </c>
      <c r="L116" s="98">
        <f>Calculs!L$33</f>
        <v>0.19800000000000001</v>
      </c>
    </row>
    <row r="117" spans="1:12" x14ac:dyDescent="0.2">
      <c r="A117" s="95" t="s">
        <v>56</v>
      </c>
      <c r="B117" s="96" t="str">
        <f>IF(H115=3,IF($A114&lt;=3000,A114*I117,IF($A114&gt;6000,A114*L117,(A114*J117)+K117)),"")</f>
        <v/>
      </c>
      <c r="C117" s="97"/>
      <c r="D117" s="96" t="str">
        <f>IF(H115=3,IF($A114&lt;=3000,I117&amp;" )",IF($A114&gt;6000,L117&amp;" )",J117&amp;" ) + "&amp;K117)),"")</f>
        <v/>
      </c>
      <c r="E117" s="97"/>
      <c r="F117" s="97"/>
      <c r="G117" s="96" t="s">
        <v>56</v>
      </c>
      <c r="H117" s="97"/>
      <c r="I117" s="97">
        <f>Calculs!I$34</f>
        <v>0.39500000000000002</v>
      </c>
      <c r="J117" s="97">
        <f>Calculs!J$34</f>
        <v>9.9000000000000005E-2</v>
      </c>
      <c r="K117" s="97">
        <f>Calculs!K$34</f>
        <v>891</v>
      </c>
      <c r="L117" s="98">
        <f>Calculs!L$34</f>
        <v>0.248</v>
      </c>
    </row>
    <row r="118" spans="1:12" x14ac:dyDescent="0.2">
      <c r="A118" s="95" t="s">
        <v>20</v>
      </c>
      <c r="B118" s="96" t="str">
        <f>IF(H115=4,IF($A114&lt;=3000,A114*I118,IF($A114&gt;6000,A114*L118,(A114*J118)+K118)),"")</f>
        <v/>
      </c>
      <c r="C118" s="97"/>
      <c r="D118" s="96" t="str">
        <f>IF(H115=4,IF($A114&lt;=3000,I118&amp;" )",IF($A114&gt;6000,L118&amp;" )",J118&amp;" ) + "&amp;FIXED(K118,0))),"")</f>
        <v/>
      </c>
      <c r="E118" s="97"/>
      <c r="F118" s="97"/>
      <c r="G118" s="96" t="s">
        <v>20</v>
      </c>
      <c r="H118" s="97"/>
      <c r="I118" s="97">
        <f>Calculs!I$35</f>
        <v>0.46800000000000003</v>
      </c>
      <c r="J118" s="97">
        <f>Calculs!J$35</f>
        <v>8.2000000000000003E-2</v>
      </c>
      <c r="K118" s="97">
        <f>Calculs!K$35</f>
        <v>1158</v>
      </c>
      <c r="L118" s="98">
        <f>Calculs!L$35</f>
        <v>0.27500000000000002</v>
      </c>
    </row>
    <row r="119" spans="1:12" x14ac:dyDescent="0.2">
      <c r="A119" s="95" t="s">
        <v>21</v>
      </c>
      <c r="B119" s="96" t="str">
        <f>IF(H115=5,IF($A114&lt;=3000,A114*I119,IF($A114&gt;6000,A114*L119,(A114*J119)+K119)),"")</f>
        <v/>
      </c>
      <c r="C119" s="97"/>
      <c r="D119" s="96" t="str">
        <f>IF(H115=5,IF($A114&lt;=3000,I119&amp;" )",IF($A114&gt;6000,L119&amp;" )",J119&amp;" ) + "&amp;FIXED(K119,0))),"")</f>
        <v/>
      </c>
      <c r="E119" s="97"/>
      <c r="F119" s="97"/>
      <c r="G119" s="96" t="s">
        <v>21</v>
      </c>
      <c r="H119" s="97"/>
      <c r="I119" s="97">
        <f>Calculs!I$36</f>
        <v>0.60599999999999998</v>
      </c>
      <c r="J119" s="97">
        <f>Calculs!J$36</f>
        <v>7.9000000000000001E-2</v>
      </c>
      <c r="K119" s="97">
        <f>Calculs!K$36</f>
        <v>1583</v>
      </c>
      <c r="L119" s="98">
        <f>Calculs!L$36</f>
        <v>0.34300000000000003</v>
      </c>
    </row>
    <row r="120" spans="1:12" x14ac:dyDescent="0.2">
      <c r="A120" s="95"/>
      <c r="B120" s="96">
        <f>ROUND(SUM(B116:B119),0)</f>
        <v>0</v>
      </c>
      <c r="C120" s="97"/>
      <c r="D120" s="97" t="str">
        <f>D116 &amp; D117 &amp; D118 &amp; D119</f>
        <v/>
      </c>
      <c r="E120" s="97"/>
      <c r="F120" s="97"/>
      <c r="G120" s="97"/>
      <c r="H120" s="97"/>
      <c r="I120" s="97"/>
      <c r="J120" s="97"/>
      <c r="K120" s="97"/>
      <c r="L120" s="98"/>
    </row>
    <row r="121" spans="1:12" x14ac:dyDescent="0.2">
      <c r="A121" s="95"/>
      <c r="B121" s="105"/>
      <c r="C121" s="106"/>
      <c r="D121" s="106"/>
      <c r="E121" s="97"/>
      <c r="F121" s="97"/>
      <c r="G121" s="97"/>
      <c r="H121" s="97"/>
      <c r="I121" s="97"/>
      <c r="J121" s="97"/>
      <c r="K121" s="97"/>
      <c r="L121" s="98"/>
    </row>
    <row r="122" spans="1:12" x14ac:dyDescent="0.2">
      <c r="A122" s="107"/>
      <c r="B122" s="97">
        <f>IF(AND(B111&lt;&gt;0,B120&lt;&gt;0),"N/C",IF(B124=TRUE,(B111+B120)*1.2,B111+B120))</f>
        <v>0</v>
      </c>
      <c r="C122" s="97"/>
      <c r="D122" s="97" t="str">
        <f>IF(AND(D111&lt;&gt;"",D120&lt;&gt;""),"N/C",IF(D111&lt;&gt;"",D111,D120))</f>
        <v/>
      </c>
      <c r="E122" s="113" t="s">
        <v>87</v>
      </c>
      <c r="F122" s="97"/>
      <c r="G122" s="97" t="str">
        <f>IF(AND(B111&lt;&gt;0,B120&lt;&gt;0),"Ne compléter que la puissance de la Voiture OU de la Moto","")</f>
        <v/>
      </c>
      <c r="H122" s="97"/>
      <c r="I122" s="97"/>
      <c r="J122" s="97"/>
      <c r="K122" s="97"/>
      <c r="L122" s="98"/>
    </row>
    <row r="123" spans="1:12" x14ac:dyDescent="0.2">
      <c r="A123" s="10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8"/>
    </row>
    <row r="124" spans="1:12" x14ac:dyDescent="0.2">
      <c r="A124" s="111" t="s">
        <v>84</v>
      </c>
      <c r="B124" s="97" t="b">
        <v>0</v>
      </c>
      <c r="C124" s="97" t="str">
        <f>IF(B124=TRUE,IF(AND(H95&gt;1,H115=1),IF(AND(A97&gt;5000,A97&lt;=20000),"[ ",""),IF(AND(H95=1,H115=2),IF(AND(A114&gt;2000,A114&lt;=5000),"[ ",""),IF(AND(H95=1,H115&gt;2),IF(AND(A114&gt;3000,A114&lt;=6000),"[ ",""),""))),"")</f>
        <v/>
      </c>
      <c r="D124" s="97" t="str">
        <f>IF(B124=TRUE,IF(AND(H95&gt;1,H115=1),IF(AND(A97&gt;5000,A97&lt;=20000)," ] x 120 %"," x 120 %"),IF(AND(H95=1,H115=2),IF(AND(A114&gt;2000,A114&lt;=5000)," ] x 120 %"," x 120 %"),IF(AND(H95=1,H115&gt;2),IF(AND(A114&gt;3000,A114&lt;=6000)," ] x 120 %","")," x 120 %"))),"")</f>
        <v/>
      </c>
      <c r="E124" s="97"/>
      <c r="F124" s="97"/>
      <c r="G124" s="97"/>
      <c r="H124" s="97"/>
      <c r="I124" s="97"/>
      <c r="J124" s="97"/>
      <c r="K124" s="97"/>
      <c r="L124" s="98"/>
    </row>
    <row r="125" spans="1:12" x14ac:dyDescent="0.2">
      <c r="A125" s="112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10"/>
    </row>
    <row r="126" spans="1:12" x14ac:dyDescent="0.2">
      <c r="A126" s="90" t="s">
        <v>76</v>
      </c>
      <c r="B126" s="91"/>
      <c r="C126" s="92"/>
      <c r="D126" s="92"/>
      <c r="E126" s="92"/>
      <c r="F126" s="92"/>
      <c r="G126" s="93" t="s">
        <v>60</v>
      </c>
      <c r="H126" s="92">
        <v>1</v>
      </c>
      <c r="I126" s="92">
        <v>-5000</v>
      </c>
      <c r="J126" s="163" t="s">
        <v>28</v>
      </c>
      <c r="K126" s="163"/>
      <c r="L126" s="94">
        <v>20000</v>
      </c>
    </row>
    <row r="127" spans="1:12" x14ac:dyDescent="0.2">
      <c r="A127" s="95">
        <f>1+H126</f>
        <v>2</v>
      </c>
      <c r="B127" s="96" t="s">
        <v>9</v>
      </c>
      <c r="C127" s="97"/>
      <c r="D127" s="97"/>
      <c r="E127" s="97"/>
      <c r="F127" s="97"/>
      <c r="G127" s="97" t="s">
        <v>24</v>
      </c>
      <c r="H127" s="97"/>
      <c r="I127" s="97">
        <f>Calculs!I$2</f>
        <v>0.52900000000000003</v>
      </c>
      <c r="J127" s="97">
        <f>Calculs!J$2</f>
        <v>0.316</v>
      </c>
      <c r="K127" s="97">
        <f>Calculs!K$2</f>
        <v>1065</v>
      </c>
      <c r="L127" s="98">
        <f>Calculs!L$2</f>
        <v>0.37</v>
      </c>
    </row>
    <row r="128" spans="1:12" x14ac:dyDescent="0.2">
      <c r="A128" s="99">
        <f>SOCIETES!G97</f>
        <v>0</v>
      </c>
      <c r="B128" s="96" t="s">
        <v>10</v>
      </c>
      <c r="C128" s="97"/>
      <c r="D128" s="97"/>
      <c r="E128" s="97"/>
      <c r="F128" s="97"/>
      <c r="G128" s="97" t="s">
        <v>25</v>
      </c>
      <c r="H128" s="97"/>
      <c r="I128" s="97">
        <f>Calculs!I$3</f>
        <v>0.60599999999999998</v>
      </c>
      <c r="J128" s="97">
        <f>Calculs!J$3</f>
        <v>0.34</v>
      </c>
      <c r="K128" s="97">
        <f>Calculs!K$3</f>
        <v>1330</v>
      </c>
      <c r="L128" s="98">
        <f>Calculs!L$3</f>
        <v>0.40699999999999997</v>
      </c>
    </row>
    <row r="129" spans="1:12" x14ac:dyDescent="0.2">
      <c r="A129" s="95"/>
      <c r="B129" s="96"/>
      <c r="C129" s="97"/>
      <c r="D129" s="97"/>
      <c r="E129" s="97"/>
      <c r="F129" s="97"/>
      <c r="G129" s="97" t="s">
        <v>26</v>
      </c>
      <c r="H129" s="97"/>
      <c r="I129" s="97">
        <f>Calculs!I$4</f>
        <v>0.63600000000000001</v>
      </c>
      <c r="J129" s="97">
        <f>Calculs!J$4</f>
        <v>0.35699999999999998</v>
      </c>
      <c r="K129" s="97">
        <f>Calculs!K$4</f>
        <v>1395</v>
      </c>
      <c r="L129" s="98">
        <f>Calculs!L$4</f>
        <v>0.42699999999999999</v>
      </c>
    </row>
    <row r="130" spans="1:12" x14ac:dyDescent="0.2">
      <c r="A130" s="95" t="s">
        <v>60</v>
      </c>
      <c r="B130" s="96"/>
      <c r="C130" s="97"/>
      <c r="D130" s="97"/>
      <c r="E130" s="97"/>
      <c r="F130" s="97"/>
      <c r="G130" s="97" t="s">
        <v>27</v>
      </c>
      <c r="H130" s="97"/>
      <c r="I130" s="97">
        <f>Calculs!I$5</f>
        <v>0.66500000000000004</v>
      </c>
      <c r="J130" s="97">
        <f>Calculs!J$5</f>
        <v>0.374</v>
      </c>
      <c r="K130" s="97">
        <f>Calculs!K$5</f>
        <v>1457</v>
      </c>
      <c r="L130" s="98">
        <f>Calculs!L$5</f>
        <v>0.44700000000000001</v>
      </c>
    </row>
    <row r="131" spans="1:12" x14ac:dyDescent="0.2">
      <c r="A131" s="95">
        <v>3</v>
      </c>
      <c r="B131" s="100" t="str">
        <f>IF(A128=0,"",IF(A127=A131,IF(A128&lt;=5000,A128*I127,IF(A128&gt;20000,A128*L127,((A128*J127)+K127))),""))</f>
        <v/>
      </c>
      <c r="C131" s="97"/>
      <c r="D131" s="100" t="str">
        <f>IF(A128=0,"",IF(A127=A131,IF(A128&lt;=5000,I127&amp;" )",IF(A128&gt;20000,L127&amp;" )",J127&amp;" ) + "&amp;FIXED(K127,0))),""))</f>
        <v/>
      </c>
      <c r="E131" s="100"/>
      <c r="F131" s="97"/>
      <c r="G131" s="97" t="s">
        <v>88</v>
      </c>
      <c r="H131" s="97"/>
      <c r="I131" s="97">
        <f>Calculs!I$6</f>
        <v>0.69699999999999995</v>
      </c>
      <c r="J131" s="97">
        <f>Calculs!J$6</f>
        <v>0.39400000000000002</v>
      </c>
      <c r="K131" s="97">
        <f>Calculs!K$6</f>
        <v>1515</v>
      </c>
      <c r="L131" s="98">
        <f>Calculs!L$6</f>
        <v>0.47</v>
      </c>
    </row>
    <row r="132" spans="1:12" x14ac:dyDescent="0.2">
      <c r="A132" s="95">
        <v>4</v>
      </c>
      <c r="B132" s="100" t="str">
        <f>IF(A128=0,"",IF(A127=A132,IF(A128&lt;=5000,A128*I128,IF(A128&gt;20000,A128*L128,((A128*J128)+K128))),""))</f>
        <v/>
      </c>
      <c r="C132" s="97"/>
      <c r="D132" s="100" t="str">
        <f>IF(A128=0,"",IF(A127=A132,IF(A128&lt;=5000,I128&amp;" )",IF(A128&gt;20000,L128&amp;" )",J128&amp;" ) + "&amp;FIXED(K128,0))),""))</f>
        <v/>
      </c>
      <c r="E132" s="97"/>
      <c r="F132" s="97"/>
      <c r="G132" s="97"/>
      <c r="H132" s="97"/>
      <c r="I132" s="97"/>
      <c r="J132" s="97"/>
      <c r="K132" s="97"/>
      <c r="L132" s="98"/>
    </row>
    <row r="133" spans="1:12" x14ac:dyDescent="0.2">
      <c r="A133" s="95">
        <v>5</v>
      </c>
      <c r="B133" s="100" t="str">
        <f>IF(A128=0,"",IF(A127=A133,IF(A128&lt;=5000,A128*I129,IF(A128&gt;20000,A128*L129,((A128*J129)+K129))),""))</f>
        <v/>
      </c>
      <c r="C133" s="97"/>
      <c r="D133" s="100" t="str">
        <f>IF(A128=0,"",IF(A127=A133,IF(A128&lt;=5000,I129&amp;" )",IF(A128&gt;20000,L129&amp;" )",J129&amp;" ) + "&amp;FIXED(K129,0))),""))</f>
        <v/>
      </c>
      <c r="E133" s="97"/>
      <c r="F133" s="97"/>
      <c r="G133" s="97"/>
      <c r="H133" s="97"/>
      <c r="I133" s="97"/>
      <c r="J133" s="97"/>
      <c r="K133" s="97"/>
      <c r="L133" s="98"/>
    </row>
    <row r="134" spans="1:12" x14ac:dyDescent="0.2">
      <c r="A134" s="95">
        <v>6</v>
      </c>
      <c r="B134" s="100" t="str">
        <f>IF(A128=0,"",IF(A127=A134,IF(A128&lt;=5000,A128*I130,IF(A128&gt;20000,A128*L130,((A128*J130)+K130))),""))</f>
        <v/>
      </c>
      <c r="C134" s="97"/>
      <c r="D134" s="100" t="str">
        <f>IF(A128=0,"",IF(A127=A134,IF(A128&lt;=5000,I130&amp;" )",IF(A128&gt;20000,L130&amp;" )",J130&amp;" ) + "&amp;FIXED(K130,0))),""))</f>
        <v/>
      </c>
      <c r="E134" s="97"/>
      <c r="F134" s="97"/>
      <c r="G134" s="97"/>
      <c r="H134" s="97"/>
      <c r="I134" s="97"/>
      <c r="J134" s="97"/>
      <c r="K134" s="97"/>
      <c r="L134" s="98"/>
    </row>
    <row r="135" spans="1:12" x14ac:dyDescent="0.2">
      <c r="A135" s="95">
        <v>7</v>
      </c>
      <c r="B135" s="100" t="str">
        <f>IF(A128=0,"",IF(A127=A135,IF(A128&lt;=5000,A128*I131,IF(A128&gt;20000,A128*L131,((A128*J131)+K131))),""))</f>
        <v/>
      </c>
      <c r="C135" s="97"/>
      <c r="D135" s="100" t="str">
        <f>IF(A128=0,"",IF(A127=A135,IF(A128&lt;=5000,I131&amp;" )",IF(A128&gt;20000,L131&amp;" )",J131&amp;" ) + "&amp;FIXED(K131,0))),""))</f>
        <v/>
      </c>
      <c r="E135" s="97"/>
      <c r="F135" s="97"/>
      <c r="G135" s="97"/>
      <c r="H135" s="97"/>
      <c r="I135" s="97"/>
      <c r="J135" s="97"/>
      <c r="K135" s="97"/>
      <c r="L135" s="98"/>
    </row>
    <row r="136" spans="1:12" x14ac:dyDescent="0.2">
      <c r="A136" s="95"/>
      <c r="B136" s="100" t="str">
        <f>IF(A128=0,"",IF(A127=A136,IF(A128&lt;=5000,A128*I132,IF(A128&gt;20000,A128*L132,((A128*J132)+K132))),""))</f>
        <v/>
      </c>
      <c r="C136" s="97"/>
      <c r="D136" s="100" t="str">
        <f>IF(A128=0,"",IF(A127=A136,IF(A128&lt;=5000,I132&amp;" )",IF(A128&gt;20000,L132&amp;" )",J132&amp;" ) + "&amp;FIXED(K132,0))),""))</f>
        <v/>
      </c>
      <c r="E136" s="97"/>
      <c r="F136" s="97"/>
      <c r="G136" s="97"/>
      <c r="H136" s="97"/>
      <c r="I136" s="97"/>
      <c r="J136" s="97"/>
      <c r="K136" s="97"/>
      <c r="L136" s="98"/>
    </row>
    <row r="137" spans="1:12" x14ac:dyDescent="0.2">
      <c r="A137" s="95"/>
      <c r="B137" s="100" t="str">
        <f>IF(A128=0,"",IF(A127=A137,IF(A128&lt;=5000,A128*I133,IF(A128&gt;20000,A128*L133,((A128*J133)+K133))),""))</f>
        <v/>
      </c>
      <c r="C137" s="97"/>
      <c r="D137" s="100" t="str">
        <f>IF(A128=0,"",IF(A127=A137,IF(A128&lt;=5000,I133&amp;" )",IF(A128&gt;20000,L133&amp;" )",J133&amp;" ) + "&amp;FIXED(K133,0))),""))</f>
        <v/>
      </c>
      <c r="E137" s="97"/>
      <c r="F137" s="97"/>
      <c r="G137" s="97"/>
      <c r="H137" s="97"/>
      <c r="I137" s="97"/>
      <c r="J137" s="97"/>
      <c r="K137" s="97"/>
      <c r="L137" s="98"/>
    </row>
    <row r="138" spans="1:12" x14ac:dyDescent="0.2">
      <c r="A138" s="95"/>
      <c r="B138" s="100" t="str">
        <f>IF(A128=0,"",IF(A127=A138,IF(A128&lt;=5000,A128*I134,IF(A128&gt;20000,A128*L134,((A128*J134)+K134))),""))</f>
        <v/>
      </c>
      <c r="C138" s="97"/>
      <c r="D138" s="100" t="str">
        <f>IF(A128=0,"",IF(A127=A138,IF(A128&lt;=5000,I134&amp;" )",IF(A128&gt;20000,L134&amp;" )",J134&amp;" ) + "&amp;FIXED(K134,0))),""))</f>
        <v/>
      </c>
      <c r="E138" s="97"/>
      <c r="F138" s="97"/>
      <c r="G138" s="97"/>
      <c r="H138" s="97"/>
      <c r="I138" s="97"/>
      <c r="J138" s="97"/>
      <c r="K138" s="97"/>
      <c r="L138" s="98"/>
    </row>
    <row r="139" spans="1:12" x14ac:dyDescent="0.2">
      <c r="A139" s="95"/>
      <c r="B139" s="100" t="str">
        <f>IF(A128=0,"",IF(A127=A139,IF(A128&lt;=5000,A128*I135,IF(A128&gt;20000,A128*L135,((A128*J135)+K135))),""))</f>
        <v/>
      </c>
      <c r="C139" s="97"/>
      <c r="D139" s="100" t="str">
        <f>IF(A128=0,"",IF(A127=A139,IF(A128&lt;=5000,I135&amp;" )",IF(A128&gt;20000,L135&amp;" )",J135&amp;" ) + "&amp;FIXED(K135,0))),""))</f>
        <v/>
      </c>
      <c r="E139" s="97"/>
      <c r="F139" s="97"/>
      <c r="G139" s="97"/>
      <c r="H139" s="97"/>
      <c r="I139" s="97"/>
      <c r="J139" s="97"/>
      <c r="K139" s="97"/>
      <c r="L139" s="98"/>
    </row>
    <row r="140" spans="1:12" x14ac:dyDescent="0.2">
      <c r="A140" s="95"/>
      <c r="B140" s="100" t="str">
        <f>IF(A128=0,"",IF(A127=A140,IF(A128&lt;=5000,A128*I136,IF(A128&gt;20000,A128*L136,((A128*J136)+K136))),""))</f>
        <v/>
      </c>
      <c r="C140" s="97"/>
      <c r="D140" s="100" t="str">
        <f>IF(A128=0,"",IF(A127=A140,IF(A128&lt;=5000,I136&amp;" )",IF(A128&gt;20000,L136&amp;" )",J136&amp;" ) + "&amp;FIXED(K136,0))),""))</f>
        <v/>
      </c>
      <c r="E140" s="97"/>
      <c r="F140" s="97"/>
      <c r="G140" s="97"/>
      <c r="H140" s="97"/>
      <c r="I140" s="97"/>
      <c r="J140" s="97"/>
      <c r="K140" s="97"/>
      <c r="L140" s="98"/>
    </row>
    <row r="141" spans="1:12" x14ac:dyDescent="0.2">
      <c r="A141" s="95"/>
      <c r="B141" s="100" t="str">
        <f>IF(A128=0,"",IF(A127=A141,IF(A128&lt;=5000,A128*I137,IF(A128&gt;20000,A128*L137,((A128*J137)+K137))),""))</f>
        <v/>
      </c>
      <c r="C141" s="97"/>
      <c r="D141" s="100" t="str">
        <f>IF(A128=0,"",IF(A127=A141,IF(A128&lt;=5000,I137&amp;" )",IF(A128&gt;20000,L137&amp;" )",J137&amp;" ) + "&amp;FIXED(K137,0))),""))</f>
        <v/>
      </c>
      <c r="E141" s="97"/>
      <c r="F141" s="97"/>
      <c r="G141" s="97"/>
      <c r="H141" s="97"/>
      <c r="I141" s="97"/>
      <c r="J141" s="97"/>
      <c r="K141" s="97"/>
      <c r="L141" s="98"/>
    </row>
    <row r="142" spans="1:12" x14ac:dyDescent="0.2">
      <c r="A142" s="95"/>
      <c r="B142" s="100">
        <f>ROUND(SUM(B131:B141),0)</f>
        <v>0</v>
      </c>
      <c r="C142" s="97"/>
      <c r="D142" s="101" t="str">
        <f>D131 &amp; D132 &amp; D133 &amp; D134 &amp; D135 &amp; D136 &amp; D137 &amp; D138 &amp; D139 &amp; D140 &amp; D141</f>
        <v/>
      </c>
      <c r="E142" s="97"/>
      <c r="F142" s="97"/>
      <c r="G142" s="97"/>
      <c r="H142" s="97"/>
      <c r="I142" s="97"/>
      <c r="J142" s="97"/>
      <c r="K142" s="97"/>
      <c r="L142" s="98"/>
    </row>
    <row r="143" spans="1:12" x14ac:dyDescent="0.2">
      <c r="A143" s="95"/>
      <c r="B143" s="96"/>
      <c r="C143" s="97"/>
      <c r="D143" s="97"/>
      <c r="E143" s="97"/>
      <c r="F143" s="97"/>
      <c r="G143" s="97"/>
      <c r="H143" s="97"/>
      <c r="I143" s="97"/>
      <c r="J143" s="97"/>
      <c r="K143" s="97"/>
      <c r="L143" s="98"/>
    </row>
    <row r="144" spans="1:12" x14ac:dyDescent="0.2">
      <c r="A144" s="95" t="s">
        <v>77</v>
      </c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8"/>
    </row>
    <row r="145" spans="1:12" x14ac:dyDescent="0.2">
      <c r="A145" s="99">
        <f>A128</f>
        <v>0</v>
      </c>
      <c r="B145" s="96" t="s">
        <v>17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8"/>
    </row>
    <row r="146" spans="1:12" x14ac:dyDescent="0.2">
      <c r="A146" s="95" t="s">
        <v>60</v>
      </c>
      <c r="B146" s="97"/>
      <c r="C146" s="97"/>
      <c r="D146" s="101"/>
      <c r="E146" s="97"/>
      <c r="F146" s="97"/>
      <c r="G146" s="102" t="s">
        <v>60</v>
      </c>
      <c r="H146" s="97">
        <v>1</v>
      </c>
      <c r="I146" s="97"/>
      <c r="J146" s="97"/>
      <c r="K146" s="97"/>
      <c r="L146" s="98"/>
    </row>
    <row r="147" spans="1:12" ht="14.25" x14ac:dyDescent="0.2">
      <c r="A147" s="103" t="s">
        <v>18</v>
      </c>
      <c r="B147" s="96" t="str">
        <f>IF(H146=2,IF($A145&lt;=3000,A145*I147,IF($A145&gt;6000,A145*L147,(A145*J147)+K147)),"")</f>
        <v/>
      </c>
      <c r="C147" s="97"/>
      <c r="D147" s="96" t="str">
        <f>IF(H146=2,IF($A145&lt;=3000,I147&amp;" )",IF($A145&gt;6000,L147&amp;" )",J147&amp;" ) + "&amp;K147)),"")</f>
        <v/>
      </c>
      <c r="E147" s="97"/>
      <c r="F147" s="97"/>
      <c r="G147" s="104" t="s">
        <v>36</v>
      </c>
      <c r="H147" s="97"/>
      <c r="I147" s="97">
        <f>Calculs!I$33</f>
        <v>0.315</v>
      </c>
      <c r="J147" s="97">
        <f>Calculs!J$33</f>
        <v>7.9000000000000001E-2</v>
      </c>
      <c r="K147" s="97">
        <f>Calculs!K$33</f>
        <v>711</v>
      </c>
      <c r="L147" s="98">
        <f>Calculs!L$33</f>
        <v>0.19800000000000001</v>
      </c>
    </row>
    <row r="148" spans="1:12" x14ac:dyDescent="0.2">
      <c r="A148" s="95" t="s">
        <v>56</v>
      </c>
      <c r="B148" s="96" t="str">
        <f>IF(H146=3,IF($A145&lt;=3000,A145*I148,IF($A145&gt;6000,A145*L148,(A145*J148)+K148)),"")</f>
        <v/>
      </c>
      <c r="C148" s="97"/>
      <c r="D148" s="96" t="str">
        <f>IF(H146=3,IF($A145&lt;=3000,I148&amp;" )",IF($A145&gt;6000,L148&amp;" )",J148&amp;" ) + "&amp;K148)),"")</f>
        <v/>
      </c>
      <c r="E148" s="97"/>
      <c r="F148" s="97"/>
      <c r="G148" s="96" t="s">
        <v>56</v>
      </c>
      <c r="H148" s="97"/>
      <c r="I148" s="97">
        <f>Calculs!I$34</f>
        <v>0.39500000000000002</v>
      </c>
      <c r="J148" s="97">
        <f>Calculs!J$34</f>
        <v>9.9000000000000005E-2</v>
      </c>
      <c r="K148" s="97">
        <f>Calculs!K$34</f>
        <v>891</v>
      </c>
      <c r="L148" s="98">
        <f>Calculs!L$34</f>
        <v>0.248</v>
      </c>
    </row>
    <row r="149" spans="1:12" x14ac:dyDescent="0.2">
      <c r="A149" s="95" t="s">
        <v>20</v>
      </c>
      <c r="B149" s="96" t="str">
        <f>IF(H146=4,IF($A145&lt;=3000,A145*I149,IF($A145&gt;6000,A145*L149,(A145*J149)+K149)),"")</f>
        <v/>
      </c>
      <c r="C149" s="97"/>
      <c r="D149" s="96" t="str">
        <f>IF(H146=4,IF($A145&lt;=3000,I149&amp;" )",IF($A145&gt;6000,L149&amp;" )",J149&amp;" ) + "&amp;FIXED(K149,0))),"")</f>
        <v/>
      </c>
      <c r="E149" s="97"/>
      <c r="F149" s="97"/>
      <c r="G149" s="96" t="s">
        <v>20</v>
      </c>
      <c r="H149" s="97"/>
      <c r="I149" s="97">
        <f>Calculs!I$35</f>
        <v>0.46800000000000003</v>
      </c>
      <c r="J149" s="97">
        <f>Calculs!J$35</f>
        <v>8.2000000000000003E-2</v>
      </c>
      <c r="K149" s="97">
        <f>Calculs!K$35</f>
        <v>1158</v>
      </c>
      <c r="L149" s="98">
        <f>Calculs!L$35</f>
        <v>0.27500000000000002</v>
      </c>
    </row>
    <row r="150" spans="1:12" x14ac:dyDescent="0.2">
      <c r="A150" s="95" t="s">
        <v>21</v>
      </c>
      <c r="B150" s="96" t="str">
        <f>IF(H146=5,IF($A145&lt;=3000,A145*I150,IF($A145&gt;6000,A145*L150,(A145*J150)+K150)),"")</f>
        <v/>
      </c>
      <c r="C150" s="97"/>
      <c r="D150" s="96" t="str">
        <f>IF(H146=5,IF($A145&lt;=3000,I150&amp;" )",IF($A145&gt;6000,L150&amp;" )",J150&amp;" ) + "&amp;FIXED(K150,0))),"")</f>
        <v/>
      </c>
      <c r="E150" s="97"/>
      <c r="F150" s="97"/>
      <c r="G150" s="96" t="s">
        <v>21</v>
      </c>
      <c r="H150" s="97"/>
      <c r="I150" s="97">
        <f>Calculs!I$36</f>
        <v>0.60599999999999998</v>
      </c>
      <c r="J150" s="97">
        <f>Calculs!J$36</f>
        <v>7.9000000000000001E-2</v>
      </c>
      <c r="K150" s="97">
        <f>Calculs!K$36</f>
        <v>1583</v>
      </c>
      <c r="L150" s="98">
        <f>Calculs!L$36</f>
        <v>0.34300000000000003</v>
      </c>
    </row>
    <row r="151" spans="1:12" x14ac:dyDescent="0.2">
      <c r="A151" s="95"/>
      <c r="B151" s="96">
        <f>ROUND(SUM(B147:B150),0)</f>
        <v>0</v>
      </c>
      <c r="C151" s="97"/>
      <c r="D151" s="97" t="str">
        <f>D147 &amp; D148 &amp; D149 &amp; D150</f>
        <v/>
      </c>
      <c r="E151" s="97"/>
      <c r="F151" s="97"/>
      <c r="G151" s="97"/>
      <c r="H151" s="97"/>
      <c r="I151" s="97"/>
      <c r="J151" s="97"/>
      <c r="K151" s="97"/>
      <c r="L151" s="98"/>
    </row>
    <row r="152" spans="1:12" x14ac:dyDescent="0.2">
      <c r="A152" s="95"/>
      <c r="B152" s="105"/>
      <c r="C152" s="106"/>
      <c r="D152" s="106"/>
      <c r="E152" s="97"/>
      <c r="F152" s="97"/>
      <c r="G152" s="97"/>
      <c r="H152" s="97"/>
      <c r="I152" s="97"/>
      <c r="J152" s="97"/>
      <c r="K152" s="97"/>
      <c r="L152" s="98"/>
    </row>
    <row r="153" spans="1:12" x14ac:dyDescent="0.2">
      <c r="A153" s="107"/>
      <c r="B153" s="97">
        <f>IF(AND(B142&lt;&gt;0,B151&lt;&gt;0),"N/C",IF(B155=TRUE,(B142+B151)*1.2,B142+B151))</f>
        <v>0</v>
      </c>
      <c r="C153" s="97"/>
      <c r="D153" s="97" t="str">
        <f>IF(AND(D142&lt;&gt;"",D151&lt;&gt;""),"N/C",IF(D142&lt;&gt;"",D142,D151))</f>
        <v/>
      </c>
      <c r="E153" s="97"/>
      <c r="F153" s="97"/>
      <c r="G153" s="97" t="str">
        <f>IF(AND(B142&lt;&gt;0,B151&lt;&gt;0),"Ne compléter que la puissance de la Voiture OU de la Moto","")</f>
        <v/>
      </c>
      <c r="H153" s="97"/>
      <c r="I153" s="97"/>
      <c r="J153" s="97"/>
      <c r="K153" s="97"/>
      <c r="L153" s="98"/>
    </row>
    <row r="154" spans="1:12" x14ac:dyDescent="0.2">
      <c r="A154" s="10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8"/>
    </row>
    <row r="155" spans="1:12" x14ac:dyDescent="0.2">
      <c r="A155" s="111" t="s">
        <v>84</v>
      </c>
      <c r="B155" s="97" t="b">
        <v>0</v>
      </c>
      <c r="C155" s="97" t="str">
        <f>IF(B155=TRUE,IF(AND(H126&gt;1,H146=1),IF(AND(A128&gt;5000,A128&lt;=20000),"[ ",""),IF(AND(H126=1,H146=2),IF(AND(A145&gt;2000,A145&lt;=5000),"[ ",""),IF(AND(H126=1,H146&gt;2),IF(AND(A145&gt;3000,A145&lt;=6000),"[ ",""),""))),"")</f>
        <v/>
      </c>
      <c r="D155" s="97" t="str">
        <f>IF(B155=TRUE,IF(AND(H126&gt;1,H146=1),IF(AND(A128&gt;5000,A128&lt;=20000)," ] x 120 %"," x 120 %"),IF(AND(H126=1,H146=2),IF(AND(A145&gt;2000,A145&lt;=5000)," ] x 120 %"," x 120 %"),IF(AND(H126=1,H146&gt;2),IF(AND(A145&gt;3000,A145&lt;=6000)," ] x 120 %","")," x 120 %"))),"")</f>
        <v/>
      </c>
      <c r="E155" s="97"/>
      <c r="F155" s="97"/>
      <c r="G155" s="97"/>
      <c r="H155" s="97"/>
      <c r="I155" s="97"/>
      <c r="J155" s="97"/>
      <c r="K155" s="97"/>
      <c r="L155" s="98"/>
    </row>
    <row r="156" spans="1:12" x14ac:dyDescent="0.2">
      <c r="A156" s="108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10"/>
    </row>
    <row r="1355" spans="2:2" x14ac:dyDescent="0.2">
      <c r="B1355" t="b">
        <v>1</v>
      </c>
    </row>
  </sheetData>
  <mergeCells count="6">
    <mergeCell ref="J95:K95"/>
    <mergeCell ref="J126:K126"/>
    <mergeCell ref="J2:K2"/>
    <mergeCell ref="A1:L1"/>
    <mergeCell ref="J33:K33"/>
    <mergeCell ref="J64:K6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Frais AUTO</vt:lpstr>
      <vt:lpstr>Frais MOTO</vt:lpstr>
      <vt:lpstr>SOCIETES</vt:lpstr>
      <vt:lpstr>Annexe BIC</vt:lpstr>
      <vt:lpstr>Calculs</vt:lpstr>
      <vt:lpstr>Calculs 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AGPLA</dc:creator>
  <cp:lastModifiedBy>VSJ</cp:lastModifiedBy>
  <cp:lastPrinted>2011-03-15T14:54:41Z</cp:lastPrinted>
  <dcterms:created xsi:type="dcterms:W3CDTF">2002-10-16T12:39:44Z</dcterms:created>
  <dcterms:modified xsi:type="dcterms:W3CDTF">2026-04-21T12:27:30Z</dcterms:modified>
</cp:coreProperties>
</file>